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36.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37.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charts/chart1.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01"/>
  <workbookPr codeName="DieseArbeitsmappe" defaultThemeVersion="124226"/>
  <mc:AlternateContent xmlns:mc="http://schemas.openxmlformats.org/markup-compatibility/2006">
    <mc:Choice Requires="x15">
      <x15ac:absPath xmlns:x15ac="http://schemas.microsoft.com/office/spreadsheetml/2010/11/ac" url="D:\Bierbrauerei\Brau-Dokumente\Brauprotokolle\"/>
    </mc:Choice>
  </mc:AlternateContent>
  <xr:revisionPtr revIDLastSave="0" documentId="13_ncr:1_{DE765B4B-7E7D-4678-99CE-2FBC0DD0B1C8}" xr6:coauthVersionLast="43" xr6:coauthVersionMax="43" xr10:uidLastSave="{00000000-0000-0000-0000-000000000000}"/>
  <bookViews>
    <workbookView xWindow="-108" yWindow="-108" windowWidth="23256" windowHeight="12576" tabRatio="994" xr2:uid="{00000000-000D-0000-FFFF-FFFF00000000}"/>
  </bookViews>
  <sheets>
    <sheet name="start" sheetId="13" r:id="rId1"/>
    <sheet name="historie" sheetId="9" r:id="rId2"/>
    <sheet name="daten" sheetId="16" r:id="rId3"/>
    <sheet name="rechenfibel" sheetId="29" r:id="rId4"/>
    <sheet name="1_vorbereitung" sheetId="4" r:id="rId5"/>
    <sheet name="2_brief_hza" sheetId="5" r:id="rId6"/>
    <sheet name="3_rezeptkarte" sheetId="10" r:id="rId7"/>
    <sheet name="4a_sud-journal" sheetId="3" r:id="rId8"/>
    <sheet name="4a_sud-journal (handout)" sheetId="30" r:id="rId9"/>
    <sheet name="5_gaerdiagramm" sheetId="6" r:id="rId10"/>
    <sheet name="6_lagerbericht" sheetId="7" r:id="rId11"/>
    <sheet name="7_verkostungsbogen" sheetId="18" r:id="rId12"/>
    <sheet name="8_untappd" sheetId="19" r:id="rId13"/>
    <sheet name="9_banderole" sheetId="17" r:id="rId14"/>
    <sheet name="10_zapfschild" sheetId="20" r:id="rId15"/>
    <sheet name="export" sheetId="26" r:id="rId16"/>
    <sheet name="grafiken" sheetId="11" state="hidden" r:id="rId17"/>
  </sheets>
  <definedNames>
    <definedName name="Baden_Württemberg">'2_brief_hza'!$AR$56:$AR$62</definedName>
    <definedName name="Bayern">'2_brief_hza'!$AR$63:$AR$69</definedName>
    <definedName name="Berlin">'2_brief_hza'!$AR$70</definedName>
    <definedName name="BILD">INDIRECT("Grafiken!B"&amp;MATCH('3_rezeptkarte'!$M$18,grafiken!$A:$A,0))</definedName>
    <definedName name="BILD2">INDIRECT("Grafiken!B"&amp;MATCH(rechenfibel!$AD$40,grafiken!$A:$A,0))</definedName>
    <definedName name="Brandenburg">'2_brief_hza'!$AR$71:$AR$72</definedName>
    <definedName name="Bremen">'2_brief_hza'!$AR$73</definedName>
    <definedName name="_xlnm.Print_Area" localSheetId="4">'1_vorbereitung'!$B$2:$AI$58</definedName>
    <definedName name="_xlnm.Print_Area" localSheetId="14">'10_zapfschild'!$B$1:$AQ$60</definedName>
    <definedName name="_xlnm.Print_Area" localSheetId="5">'2_brief_hza'!$B$2:$AJ$52</definedName>
    <definedName name="_xlnm.Print_Area" localSheetId="6">'3_rezeptkarte'!$B$2:$AH$81</definedName>
    <definedName name="_xlnm.Print_Area" localSheetId="7">'4a_sud-journal'!$B$2:$AI$81</definedName>
    <definedName name="_xlnm.Print_Area" localSheetId="8">'4a_sud-journal (handout)'!$B$2:$AI$81</definedName>
    <definedName name="_xlnm.Print_Area" localSheetId="9">'5_gaerdiagramm'!$B$2:$AO$40</definedName>
    <definedName name="_xlnm.Print_Area" localSheetId="10">'6_lagerbericht'!$B$2:$AR$42</definedName>
    <definedName name="_xlnm.Print_Area" localSheetId="11">'7_verkostungsbogen'!$B$2:$AM$69</definedName>
    <definedName name="_xlnm.Print_Area" localSheetId="12">'8_untappd'!$B$2:$AI$72</definedName>
    <definedName name="_xlnm.Print_Area" localSheetId="13">'9_banderole'!$A$1:$AY$66</definedName>
    <definedName name="_xlnm.Print_Area" localSheetId="3">rechenfibel!$B$2:$AG$70</definedName>
    <definedName name="EBC">grafiken!$A$1:$A$100</definedName>
    <definedName name="Hamburg">'2_brief_hza'!$AR$74:$AR$76</definedName>
    <definedName name="Hessen">'2_brief_hza'!$AR$77:$AR$79</definedName>
    <definedName name="Mecklenburg_Vorpommern">'2_brief_hza'!$AR$80</definedName>
    <definedName name="Niedersachsen">'2_brief_hza'!$AR$81:$AR$84</definedName>
    <definedName name="Nordrhein_Westfalen">'2_brief_hza'!$AR$85:$AR$92</definedName>
    <definedName name="obergärig">daten!$J$3:$J$69</definedName>
    <definedName name="obergärige">daten!$J$3:$J$69</definedName>
    <definedName name="Rheinland_Pfalz">'2_brief_hza'!$AR$93</definedName>
    <definedName name="Saarland">'2_brief_hza'!$AR$94</definedName>
    <definedName name="Sachsen">'2_brief_hza'!$AR$95</definedName>
    <definedName name="Sachsen_Anhalt">'2_brief_hza'!$AR$96</definedName>
    <definedName name="Schleswig_Holstein">'2_brief_hza'!$AR$97:$AR$98</definedName>
    <definedName name="Thüringen">'2_brief_hza'!$AR$99</definedName>
    <definedName name="untergärig">daten!$J$70:$J$96</definedName>
    <definedName name="untergärige">daten!$J$70:$J$96</definedName>
    <definedName name="Weißbier">daten!$J$97:$J$111</definedName>
    <definedName name="Weißbierhefe">daten!$J$97:$J$111</definedName>
  </definedNames>
  <calcPr calcId="181029" iterate="1" fullPrecision="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V27" i="3" l="1"/>
  <c r="Q19" i="10" l="1"/>
  <c r="D27" i="4"/>
  <c r="AE64" i="29" l="1"/>
  <c r="Q8" i="29"/>
  <c r="E6" i="7" l="1"/>
  <c r="P78" i="10" l="1"/>
  <c r="G8" i="7"/>
  <c r="D23" i="4" l="1"/>
  <c r="S9" i="3" l="1"/>
  <c r="Z65" i="29" l="1"/>
  <c r="D25" i="6"/>
  <c r="D24" i="6"/>
  <c r="D23" i="6"/>
  <c r="D22" i="6"/>
  <c r="D21" i="6"/>
  <c r="D20" i="6"/>
  <c r="D19" i="6"/>
  <c r="D18" i="6"/>
  <c r="D17" i="6"/>
  <c r="D16" i="6"/>
  <c r="D15" i="6"/>
  <c r="D14" i="6"/>
  <c r="D13" i="6"/>
  <c r="D12" i="6"/>
  <c r="D11" i="6"/>
  <c r="D10" i="6"/>
  <c r="F10" i="6"/>
  <c r="L8" i="7" l="1"/>
  <c r="T18" i="4" l="1"/>
  <c r="T19" i="4"/>
  <c r="T20" i="4"/>
  <c r="T22" i="4"/>
  <c r="T23" i="4"/>
  <c r="T24" i="4"/>
  <c r="D18" i="4"/>
  <c r="D19" i="4"/>
  <c r="D20" i="4"/>
  <c r="D22" i="4"/>
  <c r="D24" i="4"/>
  <c r="D25" i="4"/>
  <c r="Z66" i="29" l="1"/>
  <c r="D13" i="4" l="1"/>
  <c r="D12" i="4"/>
  <c r="Q7" i="29" l="1"/>
  <c r="AB7" i="29"/>
  <c r="Q67" i="10" l="1"/>
  <c r="Q64" i="10"/>
  <c r="Q61" i="10"/>
  <c r="Q58" i="10"/>
  <c r="AP8" i="29" l="1"/>
  <c r="AE26" i="29"/>
  <c r="AE65" i="29"/>
  <c r="Z63" i="29"/>
  <c r="AE63" i="29" s="1"/>
  <c r="AE60" i="29"/>
  <c r="AE59" i="29"/>
  <c r="AE66" i="29"/>
  <c r="AE31" i="29"/>
  <c r="L73" i="30" l="1"/>
  <c r="L72" i="30"/>
  <c r="L71" i="30"/>
  <c r="L70" i="30"/>
  <c r="L69" i="30"/>
  <c r="AT79" i="30"/>
  <c r="AB73" i="30"/>
  <c r="U73" i="30"/>
  <c r="R73" i="30"/>
  <c r="D73" i="30"/>
  <c r="AB72" i="30"/>
  <c r="U72" i="30"/>
  <c r="R72" i="30"/>
  <c r="D72" i="30"/>
  <c r="AB71" i="30"/>
  <c r="U71" i="30"/>
  <c r="R71" i="30"/>
  <c r="D71" i="30"/>
  <c r="AB70" i="30"/>
  <c r="U70" i="30"/>
  <c r="R70" i="30"/>
  <c r="D70" i="30"/>
  <c r="AB69" i="30"/>
  <c r="U69" i="30"/>
  <c r="R69" i="30"/>
  <c r="AT52" i="30"/>
  <c r="AK47" i="30"/>
  <c r="AB41" i="30"/>
  <c r="V41" i="30"/>
  <c r="D41" i="30"/>
  <c r="AK37" i="30"/>
  <c r="AB32" i="30"/>
  <c r="V32" i="30"/>
  <c r="D32" i="30"/>
  <c r="AD29" i="30"/>
  <c r="AD39" i="30" s="1"/>
  <c r="AD48" i="30" s="1"/>
  <c r="AK26" i="30"/>
  <c r="J24" i="30"/>
  <c r="X20" i="30"/>
  <c r="K20" i="30"/>
  <c r="X19" i="30"/>
  <c r="K19" i="30"/>
  <c r="X18" i="30"/>
  <c r="K18" i="30"/>
  <c r="S9" i="30"/>
  <c r="K9" i="30"/>
  <c r="AB6" i="30"/>
  <c r="W6" i="30"/>
  <c r="P6" i="30"/>
  <c r="C6" i="30"/>
  <c r="AE3" i="30"/>
  <c r="AS47" i="29"/>
  <c r="AS46" i="29"/>
  <c r="AS45" i="29"/>
  <c r="AS44" i="29"/>
  <c r="AR47" i="29"/>
  <c r="AR46" i="29"/>
  <c r="AR45" i="29"/>
  <c r="AR44" i="29"/>
  <c r="AR56" i="29"/>
  <c r="AR55" i="29"/>
  <c r="X55" i="29"/>
  <c r="AE52" i="29"/>
  <c r="AE51" i="29"/>
  <c r="AE29" i="29"/>
  <c r="AS26" i="29"/>
  <c r="AE16" i="29"/>
  <c r="AD55" i="29" l="1"/>
  <c r="X56" i="29"/>
  <c r="AS42" i="29" l="1"/>
  <c r="AS43" i="29" s="1"/>
  <c r="G44" i="29"/>
  <c r="Z40" i="29"/>
  <c r="V40" i="29"/>
  <c r="T39" i="29"/>
  <c r="T38" i="29"/>
  <c r="T37" i="29"/>
  <c r="T36" i="29"/>
  <c r="T35" i="29"/>
  <c r="T34" i="29"/>
  <c r="Z39" i="29" l="1"/>
  <c r="Z34" i="29"/>
  <c r="AT44" i="29"/>
  <c r="AD44" i="29" s="1"/>
  <c r="Z36" i="29"/>
  <c r="Z37" i="29"/>
  <c r="Z35" i="29"/>
  <c r="Z38" i="29"/>
  <c r="AD40" i="29" l="1"/>
  <c r="AT67" i="10"/>
  <c r="DC2" i="26" s="1"/>
  <c r="AT64" i="10"/>
  <c r="CT2" i="26" s="1"/>
  <c r="AT61" i="10"/>
  <c r="CI2" i="26" s="1"/>
  <c r="AT58" i="10"/>
  <c r="BX2" i="26" s="1"/>
  <c r="AT55" i="10"/>
  <c r="BM2" i="26" s="1"/>
  <c r="X28" i="10" l="1"/>
  <c r="Q9" i="29" l="1"/>
  <c r="AB9" i="29"/>
  <c r="AB14" i="29"/>
  <c r="AB13" i="29"/>
  <c r="AB12" i="29"/>
  <c r="AB11" i="29"/>
  <c r="Q14" i="29"/>
  <c r="Q13" i="29"/>
  <c r="Q11" i="29"/>
  <c r="Q12" i="29"/>
  <c r="AW78" i="10"/>
  <c r="AV78" i="10"/>
  <c r="AT79" i="10"/>
  <c r="AT78" i="10"/>
  <c r="AR79" i="10"/>
  <c r="AR78" i="10"/>
  <c r="AU79" i="10" l="1"/>
  <c r="AV79" i="10" s="1"/>
  <c r="DF2" i="26"/>
  <c r="DE2" i="26"/>
  <c r="DH2" i="26"/>
  <c r="DD2" i="26"/>
  <c r="DB2" i="26"/>
  <c r="DA2" i="26"/>
  <c r="CZ2" i="26"/>
  <c r="CX2" i="26"/>
  <c r="CW2" i="26"/>
  <c r="CU2" i="26"/>
  <c r="CQ2" i="26"/>
  <c r="CP2" i="26"/>
  <c r="CM2" i="26"/>
  <c r="CL2" i="26"/>
  <c r="CJ2" i="26"/>
  <c r="CF2" i="26"/>
  <c r="CE2" i="26"/>
  <c r="CB2" i="26"/>
  <c r="BY2" i="26"/>
  <c r="CA2" i="26"/>
  <c r="BU2" i="26"/>
  <c r="BT2" i="26"/>
  <c r="BQ2" i="26"/>
  <c r="BP2" i="26"/>
  <c r="BN2" i="26"/>
  <c r="BJ2" i="26"/>
  <c r="BI2" i="26"/>
  <c r="AR59" i="10" l="1"/>
  <c r="AR56" i="10"/>
  <c r="AT52" i="3"/>
  <c r="AB73" i="3"/>
  <c r="S73" i="3"/>
  <c r="P73" i="3"/>
  <c r="P72" i="3"/>
  <c r="AB72" i="3"/>
  <c r="S72" i="3"/>
  <c r="AB71" i="3"/>
  <c r="S71" i="3"/>
  <c r="P71" i="3"/>
  <c r="P70" i="3"/>
  <c r="AB70" i="3"/>
  <c r="S70" i="3"/>
  <c r="AB69" i="3"/>
  <c r="P69" i="3"/>
  <c r="D73" i="3"/>
  <c r="D72" i="3"/>
  <c r="D71" i="3"/>
  <c r="D70" i="3"/>
  <c r="S69" i="3"/>
  <c r="AE68" i="3"/>
  <c r="AY68" i="10"/>
  <c r="AX68" i="10"/>
  <c r="AU68" i="10"/>
  <c r="AT68" i="10"/>
  <c r="AR68" i="10"/>
  <c r="AR67" i="10"/>
  <c r="AY65" i="10"/>
  <c r="AX65" i="10"/>
  <c r="AU65" i="10"/>
  <c r="AT65" i="10"/>
  <c r="AR65" i="10"/>
  <c r="AR64" i="10"/>
  <c r="AY62" i="10"/>
  <c r="AX62" i="10"/>
  <c r="AU62" i="10"/>
  <c r="AT62" i="10"/>
  <c r="AR62" i="10"/>
  <c r="AR61" i="10"/>
  <c r="J68" i="10"/>
  <c r="AR70" i="10"/>
  <c r="R74" i="3" s="1"/>
  <c r="N74" i="3" s="1"/>
  <c r="J65" i="10"/>
  <c r="O72" i="30" s="1"/>
  <c r="AY59" i="10"/>
  <c r="AX59" i="10"/>
  <c r="AU59" i="10"/>
  <c r="AT59" i="10"/>
  <c r="AR58" i="10"/>
  <c r="AT56" i="10"/>
  <c r="AU56" i="10"/>
  <c r="AR55" i="10"/>
  <c r="J62" i="10"/>
  <c r="O71" i="30" s="1"/>
  <c r="J59" i="10"/>
  <c r="O70" i="30" s="1"/>
  <c r="AS67" i="10" l="1"/>
  <c r="AF22" i="4" s="1"/>
  <c r="O73" i="30"/>
  <c r="M73" i="3"/>
  <c r="DG2" i="26"/>
  <c r="M72" i="3"/>
  <c r="CY2" i="26"/>
  <c r="M71" i="3"/>
  <c r="CN2" i="26"/>
  <c r="M70" i="3"/>
  <c r="CC2" i="26"/>
  <c r="AS64" i="10"/>
  <c r="Q25" i="4" s="1"/>
  <c r="AS61" i="10"/>
  <c r="AS58" i="10"/>
  <c r="AY56" i="10" l="1"/>
  <c r="AX56" i="10"/>
  <c r="J56" i="10"/>
  <c r="O69" i="30" s="1"/>
  <c r="Q55" i="10"/>
  <c r="M69" i="3" l="1"/>
  <c r="BR2" i="26"/>
  <c r="AS55" i="10"/>
  <c r="Q22" i="4" s="1"/>
  <c r="AJ55" i="10"/>
  <c r="Q6" i="29" l="1"/>
  <c r="AB6" i="29"/>
  <c r="G47" i="29" l="1"/>
  <c r="AT47" i="29" s="1"/>
  <c r="AD47" i="29" s="1"/>
  <c r="G46" i="29"/>
  <c r="AT46" i="29" s="1"/>
  <c r="AD46" i="29" s="1"/>
  <c r="G45" i="29"/>
  <c r="AT45" i="29" s="1"/>
  <c r="AD45" i="29" s="1"/>
  <c r="AD56" i="29" l="1"/>
  <c r="AE3" i="4" l="1"/>
  <c r="AE3" i="19"/>
  <c r="AI3" i="18"/>
  <c r="AL3" i="7"/>
  <c r="AL3" i="6"/>
  <c r="AE3" i="3"/>
  <c r="AD3" i="10"/>
  <c r="AD2" i="29"/>
  <c r="AD18" i="29"/>
  <c r="AD20" i="29"/>
  <c r="AD19" i="29"/>
  <c r="AL2" i="7" l="1"/>
  <c r="AE2" i="30"/>
  <c r="AD49" i="29"/>
  <c r="AE2" i="4"/>
  <c r="AD2" i="10"/>
  <c r="AI2" i="18"/>
  <c r="AE2" i="19"/>
  <c r="AE2" i="3"/>
  <c r="AL2" i="6"/>
  <c r="AD22" i="29"/>
  <c r="S23" i="29" s="1"/>
  <c r="X23" i="29" s="1"/>
  <c r="AD21" i="29"/>
  <c r="AB10" i="29" l="1"/>
  <c r="Q10" i="29"/>
  <c r="AB8" i="29"/>
  <c r="AR11" i="10" l="1"/>
  <c r="AV52" i="10" l="1"/>
  <c r="AS62" i="10" s="1"/>
  <c r="AC62" i="10" s="1"/>
  <c r="M13" i="10"/>
  <c r="AB6" i="3"/>
  <c r="I18" i="30" l="1"/>
  <c r="AP26" i="30"/>
  <c r="AP27" i="30" s="1"/>
  <c r="AP28" i="30" s="1"/>
  <c r="O12" i="30"/>
  <c r="AF79" i="30"/>
  <c r="AS56" i="10"/>
  <c r="AC56" i="10" s="1"/>
  <c r="AS65" i="10"/>
  <c r="AC65" i="10" s="1"/>
  <c r="AS68" i="10"/>
  <c r="AC68" i="10" s="1"/>
  <c r="AS59" i="10"/>
  <c r="AC59" i="10" s="1"/>
  <c r="O12" i="3"/>
  <c r="V24" i="3" s="1"/>
  <c r="AD29" i="3" s="1"/>
  <c r="AD39" i="3" s="1"/>
  <c r="AB32" i="3"/>
  <c r="AP29" i="30" l="1"/>
  <c r="O14" i="30"/>
  <c r="AC56" i="30"/>
  <c r="AD70" i="10"/>
  <c r="AP37" i="30" l="1"/>
  <c r="AP38" i="30" s="1"/>
  <c r="DW2" i="26"/>
  <c r="DX2" i="26"/>
  <c r="DY2" i="26"/>
  <c r="DZ2" i="26"/>
  <c r="EA2" i="26"/>
  <c r="EB2" i="26"/>
  <c r="EC2" i="26"/>
  <c r="ED2" i="26"/>
  <c r="EE2" i="26"/>
  <c r="DV2" i="26"/>
  <c r="AP39" i="30" l="1"/>
  <c r="P48" i="10"/>
  <c r="D48" i="30" s="1"/>
  <c r="P46" i="10"/>
  <c r="D45" i="30" s="1"/>
  <c r="V45" i="30" s="1"/>
  <c r="P45" i="10"/>
  <c r="D44" i="30" s="1"/>
  <c r="V44" i="30" s="1"/>
  <c r="P44" i="10"/>
  <c r="D43" i="30" s="1"/>
  <c r="V43" i="30" s="1"/>
  <c r="P41" i="10"/>
  <c r="D39" i="30" s="1"/>
  <c r="P40" i="10"/>
  <c r="D38" i="30" s="1"/>
  <c r="P38" i="10"/>
  <c r="D35" i="30" s="1"/>
  <c r="V35" i="30" s="1"/>
  <c r="P37" i="10"/>
  <c r="D34" i="30" s="1"/>
  <c r="V34" i="30" s="1"/>
  <c r="P36" i="10"/>
  <c r="D33" i="30" s="1"/>
  <c r="V33" i="30" s="1"/>
  <c r="P32" i="10"/>
  <c r="D29" i="30" s="1"/>
  <c r="P31" i="10"/>
  <c r="D28" i="30" s="1"/>
  <c r="V38" i="30" l="1"/>
  <c r="AG37" i="30" s="1"/>
  <c r="AK38" i="30"/>
  <c r="AK39" i="30"/>
  <c r="V39" i="30"/>
  <c r="AK28" i="30"/>
  <c r="V28" i="30"/>
  <c r="V48" i="30"/>
  <c r="AK48" i="30"/>
  <c r="AK29" i="30"/>
  <c r="V29" i="30"/>
  <c r="AG28" i="30" s="1"/>
  <c r="AP47" i="30"/>
  <c r="AP48" i="30" s="1"/>
  <c r="AG47" i="30" s="1"/>
  <c r="AG38" i="30"/>
  <c r="D48" i="3"/>
  <c r="V48" i="3" s="1"/>
  <c r="D45" i="3"/>
  <c r="D44" i="3"/>
  <c r="D43" i="3"/>
  <c r="D39" i="3"/>
  <c r="D38" i="3"/>
  <c r="D35" i="3"/>
  <c r="D34" i="3"/>
  <c r="D33" i="3"/>
  <c r="D29" i="3"/>
  <c r="D28" i="3"/>
  <c r="P30" i="10"/>
  <c r="D27" i="30" s="1"/>
  <c r="AK27" i="30" l="1"/>
  <c r="V27" i="30"/>
  <c r="AG26" i="30" s="1"/>
  <c r="AG27" i="30"/>
  <c r="D27" i="3"/>
  <c r="AF2" i="26" l="1"/>
  <c r="AS78" i="10" l="1"/>
  <c r="AF23" i="4" s="1"/>
  <c r="AD2" i="26" l="1"/>
  <c r="AK2" i="26"/>
  <c r="EF2" i="26" l="1"/>
  <c r="DU2" i="26"/>
  <c r="P79" i="10"/>
  <c r="AS79" i="10" s="1"/>
  <c r="AF24" i="4" s="1"/>
  <c r="J24" i="3" l="1"/>
  <c r="Q23" i="4"/>
  <c r="O6" i="10" l="1"/>
  <c r="AR31" i="10" l="1"/>
  <c r="AA28" i="30" s="1"/>
  <c r="AK26" i="3"/>
  <c r="DT2" i="26" l="1"/>
  <c r="AW2" i="26"/>
  <c r="AX2" i="26"/>
  <c r="AN2" i="26"/>
  <c r="AL2" i="26"/>
  <c r="AE2" i="26"/>
  <c r="DR2" i="26" l="1"/>
  <c r="DQ2" i="26"/>
  <c r="DP2" i="26"/>
  <c r="DN2" i="26"/>
  <c r="DM2" i="26"/>
  <c r="DL2" i="26"/>
  <c r="DK2" i="26"/>
  <c r="DJ2" i="26"/>
  <c r="DI2" i="26"/>
  <c r="CO2" i="26"/>
  <c r="CD2" i="26"/>
  <c r="BS2" i="26" l="1"/>
  <c r="BH2" i="26"/>
  <c r="BG2" i="26" l="1"/>
  <c r="BF2" i="26"/>
  <c r="BE2" i="26"/>
  <c r="BD2" i="26"/>
  <c r="BC2" i="26"/>
  <c r="BB2" i="26"/>
  <c r="BA2" i="26"/>
  <c r="AZ2" i="26"/>
  <c r="AY2" i="26"/>
  <c r="AV2" i="26"/>
  <c r="AU2" i="26"/>
  <c r="AT2" i="26"/>
  <c r="AS2" i="26"/>
  <c r="AR2" i="26"/>
  <c r="AQ2" i="26"/>
  <c r="AP2" i="26"/>
  <c r="AO2" i="26"/>
  <c r="AM2" i="26"/>
  <c r="AJ2" i="26"/>
  <c r="AI2" i="26"/>
  <c r="AH2" i="26"/>
  <c r="AG2" i="26"/>
  <c r="AB2" i="26"/>
  <c r="AA2" i="26"/>
  <c r="Y2" i="26"/>
  <c r="X2" i="26"/>
  <c r="V2" i="26"/>
  <c r="U2" i="26"/>
  <c r="S2" i="26"/>
  <c r="R2" i="26"/>
  <c r="O2" i="26"/>
  <c r="P2" i="26"/>
  <c r="M2" i="26"/>
  <c r="L2" i="26"/>
  <c r="J2" i="26"/>
  <c r="K2" i="26"/>
  <c r="D2" i="26"/>
  <c r="A2" i="26"/>
  <c r="AU24" i="10" l="1"/>
  <c r="AU23" i="10"/>
  <c r="AU22" i="10"/>
  <c r="AU21" i="10"/>
  <c r="AU20" i="10"/>
  <c r="AU19" i="10"/>
  <c r="G15" i="18" l="1"/>
  <c r="V29" i="3"/>
  <c r="V28" i="3"/>
  <c r="V35" i="3"/>
  <c r="V38" i="3"/>
  <c r="V45" i="3"/>
  <c r="V39" i="3"/>
  <c r="V33" i="3"/>
  <c r="V43" i="3"/>
  <c r="V44" i="3"/>
  <c r="V34" i="3"/>
  <c r="AL11" i="7"/>
  <c r="I79" i="3" l="1"/>
  <c r="AC60" i="3"/>
  <c r="B2" i="26" l="1"/>
  <c r="AF6" i="6"/>
  <c r="AC6" i="6"/>
  <c r="V79" i="3"/>
  <c r="AL6" i="6" s="1"/>
  <c r="F37" i="6" l="1"/>
  <c r="F33" i="6"/>
  <c r="F38" i="6"/>
  <c r="D23" i="20"/>
  <c r="E2" i="26"/>
  <c r="D42" i="20"/>
  <c r="Y42" i="20"/>
  <c r="H13" i="17"/>
  <c r="H45" i="17"/>
  <c r="H37" i="17"/>
  <c r="Y4" i="20"/>
  <c r="E7" i="7"/>
  <c r="E11" i="7" s="1"/>
  <c r="H53" i="17"/>
  <c r="P11" i="18"/>
  <c r="H61" i="17"/>
  <c r="H5" i="17"/>
  <c r="D4" i="20"/>
  <c r="H21" i="17"/>
  <c r="Y23" i="20"/>
  <c r="H29" i="17"/>
  <c r="Y52" i="3" l="1"/>
  <c r="I2" i="26" l="1"/>
  <c r="M19" i="10"/>
  <c r="AP26" i="3" l="1"/>
  <c r="AP27" i="3" s="1"/>
  <c r="AB13" i="10"/>
  <c r="O9" i="30" s="1"/>
  <c r="M20" i="10"/>
  <c r="O14" i="3" l="1"/>
  <c r="AP28" i="3"/>
  <c r="AP29" i="3" s="1"/>
  <c r="AG26" i="3"/>
  <c r="O9" i="3"/>
  <c r="U8" i="7"/>
  <c r="AL6" i="7" l="1"/>
  <c r="H6" i="6" l="1"/>
  <c r="V6" i="6" s="1"/>
  <c r="O7" i="6" s="1"/>
  <c r="F35" i="6" s="1"/>
  <c r="C7" i="6"/>
  <c r="V7" i="6" l="1"/>
  <c r="F29" i="6"/>
  <c r="D9" i="20"/>
  <c r="F36" i="6" l="1"/>
  <c r="D41" i="7"/>
  <c r="D40" i="7"/>
  <c r="D39" i="7"/>
  <c r="D38" i="7"/>
  <c r="D37" i="7"/>
  <c r="D21" i="7"/>
  <c r="D20" i="7"/>
  <c r="AD6" i="7"/>
  <c r="Y6" i="7"/>
  <c r="Y32" i="20"/>
  <c r="Y31" i="20"/>
  <c r="D32" i="20"/>
  <c r="D31" i="20"/>
  <c r="D51" i="20"/>
  <c r="D50" i="20"/>
  <c r="Y51" i="20"/>
  <c r="Y50" i="20"/>
  <c r="Y12" i="20"/>
  <c r="Y13" i="20"/>
  <c r="M24" i="10"/>
  <c r="M23" i="10"/>
  <c r="M22" i="10"/>
  <c r="M21" i="10"/>
  <c r="D36" i="7" l="1"/>
  <c r="D35" i="7"/>
  <c r="D34" i="7"/>
  <c r="D33" i="7"/>
  <c r="D32" i="7"/>
  <c r="D31" i="7"/>
  <c r="D30" i="7"/>
  <c r="D29" i="7"/>
  <c r="D28" i="7"/>
  <c r="D27" i="7"/>
  <c r="D26" i="7"/>
  <c r="D25" i="7"/>
  <c r="D24" i="7"/>
  <c r="D23" i="7"/>
  <c r="D22" i="7"/>
  <c r="D19" i="7"/>
  <c r="D18" i="7"/>
  <c r="D17" i="7"/>
  <c r="D16" i="7"/>
  <c r="D15" i="7"/>
  <c r="AL45" i="20" l="1"/>
  <c r="Q45" i="20"/>
  <c r="Q26" i="20"/>
  <c r="AL26" i="20"/>
  <c r="AL7" i="20"/>
  <c r="Y47" i="20" l="1"/>
  <c r="D47" i="20"/>
  <c r="AL43" i="20"/>
  <c r="Q43" i="20"/>
  <c r="Y28" i="20"/>
  <c r="D28" i="20"/>
  <c r="AL24" i="20"/>
  <c r="Q24" i="20"/>
  <c r="Q32" i="3" l="1"/>
  <c r="AD48" i="3" l="1"/>
  <c r="AK47" i="3" l="1"/>
  <c r="AK37" i="3" l="1"/>
  <c r="Q41" i="3" l="1"/>
  <c r="AE74" i="3" l="1"/>
  <c r="AT79" i="3" l="1"/>
  <c r="AF79" i="3" s="1"/>
  <c r="G11" i="7"/>
  <c r="Q24" i="4"/>
  <c r="F34" i="6" l="1"/>
  <c r="N8" i="10" l="1"/>
  <c r="F2" i="26"/>
  <c r="R7" i="7"/>
  <c r="J11" i="7" s="1"/>
  <c r="AB41" i="3"/>
  <c r="O11" i="7" l="1"/>
  <c r="AK48" i="3" l="1"/>
  <c r="V41" i="3"/>
  <c r="V32" i="3"/>
  <c r="D41" i="3"/>
  <c r="AK39" i="3"/>
  <c r="AK38" i="3"/>
  <c r="D32" i="3"/>
  <c r="AK29" i="3"/>
  <c r="AR32" i="10"/>
  <c r="AA29" i="30" s="1"/>
  <c r="AR48" i="10"/>
  <c r="AA48" i="30" s="1"/>
  <c r="AR41" i="10"/>
  <c r="AA39" i="30" s="1"/>
  <c r="AR40" i="10"/>
  <c r="AA38" i="30" s="1"/>
  <c r="AR45" i="10"/>
  <c r="AA44" i="30" s="1"/>
  <c r="AR46" i="10"/>
  <c r="AA45" i="30" s="1"/>
  <c r="AR44" i="10"/>
  <c r="AA43" i="30" s="1"/>
  <c r="AA45" i="3" l="1"/>
  <c r="Q45" i="3" s="1"/>
  <c r="AA29" i="3"/>
  <c r="AA48" i="3"/>
  <c r="Q48" i="3" s="1"/>
  <c r="AA39" i="3"/>
  <c r="Q39" i="3" s="1"/>
  <c r="AA44" i="3"/>
  <c r="Q44" i="3" s="1"/>
  <c r="AA43" i="3"/>
  <c r="Q43" i="3" s="1"/>
  <c r="AA38" i="3"/>
  <c r="AR24" i="10"/>
  <c r="AR23" i="10"/>
  <c r="AR22" i="10"/>
  <c r="AR21" i="10"/>
  <c r="AR20" i="10"/>
  <c r="AR19" i="10"/>
  <c r="AJ73" i="10"/>
  <c r="AF46" i="4"/>
  <c r="Z19" i="5"/>
  <c r="C8" i="5"/>
  <c r="V3" i="5"/>
  <c r="Q29" i="3" l="1"/>
  <c r="Q38" i="3"/>
  <c r="X46" i="4"/>
  <c r="AG33" i="4" s="1"/>
  <c r="AP46" i="4" l="1"/>
  <c r="AL5" i="20"/>
  <c r="Y9" i="20"/>
  <c r="Q5" i="20"/>
  <c r="S62" i="17"/>
  <c r="M62" i="17"/>
  <c r="H60" i="17"/>
  <c r="S54" i="17"/>
  <c r="M54" i="17"/>
  <c r="H52" i="17"/>
  <c r="S46" i="17"/>
  <c r="M46" i="17"/>
  <c r="H44" i="17"/>
  <c r="S38" i="17"/>
  <c r="M38" i="17"/>
  <c r="H36" i="17"/>
  <c r="S30" i="17"/>
  <c r="M30" i="17"/>
  <c r="H28" i="17"/>
  <c r="S22" i="17"/>
  <c r="M22" i="17"/>
  <c r="H20" i="17"/>
  <c r="S14" i="17"/>
  <c r="M14" i="17"/>
  <c r="H12" i="17"/>
  <c r="M6" i="17"/>
  <c r="H4" i="17"/>
  <c r="D36" i="18" l="1"/>
  <c r="O9" i="18" l="1"/>
  <c r="G9" i="18"/>
  <c r="D7" i="18"/>
  <c r="D35" i="18" s="1"/>
  <c r="C11" i="5" l="1"/>
  <c r="C42" i="5"/>
  <c r="W5" i="5"/>
  <c r="W4" i="5"/>
  <c r="C3" i="5"/>
  <c r="AO11" i="5"/>
  <c r="AO8" i="5"/>
  <c r="AO7" i="5"/>
  <c r="AO6" i="5"/>
  <c r="C14" i="5" s="1"/>
  <c r="AO5" i="5"/>
  <c r="C12" i="5" s="1"/>
  <c r="AK8" i="7" l="1"/>
  <c r="AB8" i="7"/>
  <c r="DO2" i="26" l="1"/>
  <c r="I8" i="7"/>
  <c r="AJ85" i="10"/>
  <c r="Y8" i="7" l="1"/>
  <c r="DS2" i="26"/>
  <c r="AJ86" i="10"/>
  <c r="E6" i="6"/>
  <c r="C6" i="3"/>
  <c r="I6" i="7"/>
  <c r="E28" i="6" l="1"/>
  <c r="X20" i="3"/>
  <c r="X19" i="3"/>
  <c r="X18" i="3"/>
  <c r="K20" i="3"/>
  <c r="K19" i="3"/>
  <c r="K18" i="3" l="1"/>
  <c r="K9" i="3"/>
  <c r="V6" i="10"/>
  <c r="C2" i="26" s="1"/>
  <c r="D32" i="5"/>
  <c r="X63" i="3"/>
  <c r="AR52" i="10"/>
  <c r="R68" i="3" s="1"/>
  <c r="AR38" i="10"/>
  <c r="AA35" i="30" s="1"/>
  <c r="AR37" i="10"/>
  <c r="AA34" i="30" s="1"/>
  <c r="AR36" i="10"/>
  <c r="AA33" i="30" s="1"/>
  <c r="AA28" i="3"/>
  <c r="AR30" i="10"/>
  <c r="AA27" i="30" s="1"/>
  <c r="AK28" i="3"/>
  <c r="AK27" i="3"/>
  <c r="O7" i="18"/>
  <c r="O18" i="10"/>
  <c r="W6" i="3"/>
  <c r="P6" i="3"/>
  <c r="X59" i="3"/>
  <c r="AC56" i="3" s="1"/>
  <c r="N68" i="3" l="1"/>
  <c r="I70" i="3"/>
  <c r="I69" i="3"/>
  <c r="I73" i="3"/>
  <c r="I71" i="3"/>
  <c r="I72" i="3"/>
  <c r="Q28" i="3"/>
  <c r="AA27" i="3"/>
  <c r="AA34" i="3"/>
  <c r="AA35" i="3"/>
  <c r="AA33" i="3"/>
  <c r="Q23" i="10"/>
  <c r="I20" i="30" s="1"/>
  <c r="Q24" i="10"/>
  <c r="U20" i="30" s="1"/>
  <c r="Q20" i="10"/>
  <c r="U18" i="30" s="1"/>
  <c r="Q22" i="10"/>
  <c r="U19" i="30" s="1"/>
  <c r="Q21" i="10"/>
  <c r="I19" i="30" s="1"/>
  <c r="Q18" i="10" l="1"/>
  <c r="AA8" i="10" s="1"/>
  <c r="I18" i="3"/>
  <c r="W2" i="26"/>
  <c r="Z2" i="26"/>
  <c r="Q2" i="26"/>
  <c r="T2" i="26"/>
  <c r="AC2" i="26"/>
  <c r="N2" i="26"/>
  <c r="Y52" i="20"/>
  <c r="Y33" i="20"/>
  <c r="D14" i="20"/>
  <c r="D52" i="20"/>
  <c r="D33" i="20"/>
  <c r="Y14" i="20"/>
  <c r="Q33" i="3"/>
  <c r="Q34" i="3"/>
  <c r="Q27" i="3"/>
  <c r="AS20" i="10"/>
  <c r="AS21" i="10"/>
  <c r="Q35" i="3"/>
  <c r="AS19" i="10"/>
  <c r="AS23" i="10"/>
  <c r="AS24" i="10"/>
  <c r="AS22" i="10"/>
  <c r="AA60" i="17"/>
  <c r="AA52" i="17"/>
  <c r="AA44" i="17"/>
  <c r="AA28" i="17"/>
  <c r="AA20" i="17"/>
  <c r="AA12" i="17"/>
  <c r="AA4" i="17"/>
  <c r="AA36" i="17"/>
  <c r="I19" i="3"/>
  <c r="U18" i="3"/>
  <c r="U19" i="3"/>
  <c r="U20" i="3"/>
  <c r="I20" i="3"/>
  <c r="M18" i="10" l="1"/>
  <c r="AF19" i="4"/>
  <c r="Q18" i="4"/>
  <c r="Y24" i="20"/>
  <c r="D24" i="20"/>
  <c r="D43" i="20"/>
  <c r="Y43" i="20"/>
  <c r="Q19" i="4"/>
  <c r="H2" i="26"/>
  <c r="G11" i="18"/>
  <c r="K45" i="17"/>
  <c r="K29" i="17"/>
  <c r="K21" i="17"/>
  <c r="K5" i="17"/>
  <c r="K61" i="17"/>
  <c r="Y5" i="20"/>
  <c r="K53" i="17"/>
  <c r="D5" i="20"/>
  <c r="K37" i="17"/>
  <c r="K13" i="17"/>
  <c r="Q20" i="4"/>
  <c r="AF20" i="4"/>
  <c r="AF18" i="4"/>
  <c r="AE29" i="4" l="1"/>
  <c r="AG27" i="3"/>
  <c r="S5" i="17"/>
  <c r="Y26" i="20"/>
  <c r="D26" i="20"/>
  <c r="D45" i="20"/>
  <c r="Y45" i="20"/>
  <c r="G13" i="18"/>
  <c r="Y7" i="20"/>
  <c r="D7" i="20"/>
  <c r="S45" i="17"/>
  <c r="S13" i="17"/>
  <c r="S53" i="17"/>
  <c r="S21" i="17"/>
  <c r="S61" i="17"/>
  <c r="S29" i="17"/>
  <c r="S37" i="17"/>
  <c r="T8" i="10" l="1"/>
  <c r="G2" i="26" s="1"/>
  <c r="AG28" i="3"/>
  <c r="AP37" i="3"/>
  <c r="AP38" i="3" s="1"/>
  <c r="AP39" i="3" s="1"/>
  <c r="M13" i="18" l="1"/>
  <c r="AG37" i="3"/>
  <c r="P61" i="17"/>
  <c r="Y44" i="20"/>
  <c r="D44" i="20"/>
  <c r="Y25" i="20"/>
  <c r="D25" i="20"/>
  <c r="P29" i="17"/>
  <c r="P45" i="17"/>
  <c r="P5" i="17"/>
  <c r="Y6" i="20"/>
  <c r="P53" i="17"/>
  <c r="P37" i="17"/>
  <c r="P13" i="17"/>
  <c r="P21" i="17"/>
  <c r="D6" i="20"/>
  <c r="AG38" i="3" l="1"/>
  <c r="AP47" i="3"/>
  <c r="AP48" i="3" l="1"/>
  <c r="AG4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trami</author>
    <author>User01</author>
  </authors>
  <commentList>
    <comment ref="F5" authorId="0" shapeId="0" xr:uid="{00000000-0006-0000-0000-000002000000}">
      <text>
        <r>
          <rPr>
            <sz val="9"/>
            <color indexed="81"/>
            <rFont val="Segoe UI"/>
            <family val="2"/>
          </rPr>
          <t>Der Lagerbericht dient zum Verfolgen der Nachgärung, insbesondere der Entwicklung der CO2-Bindung. Diese ist derzeit nur für Fassgärung dargestellt, man kann hier aber natürlich auch die Flaschengärung eintragen.</t>
        </r>
      </text>
    </comment>
    <comment ref="B7" authorId="0" shapeId="0" xr:uid="{89E5EB76-3989-4443-8445-C759F71A215F}">
      <text>
        <r>
          <rPr>
            <sz val="9"/>
            <color indexed="81"/>
            <rFont val="Segoe UI"/>
            <family val="2"/>
          </rPr>
          <t>Dieser Reiter dient dazu, den Sud vorzubereiten, so dass nichts vergessen wird. Sind alle Rohstoffe bestellt und eingetroffen? 
Ist der Sud beim Hauptzollamt angemeldet (Eine Anmeldung ist beim HZA mit dem ersten Sud des Jahres anzumelden)?
Wie hoch sind die Rohstoffkosten für meinen Sud? Ist das Brauequipment vollständig und funktionsbereit? (z.B. keine leeren Batterien, evtl. Ersatzthermometer?)
Schließlich soll ja schon in der Vorbereitung zum Sud nichts schief gehen. Man stelle sich vor, dass einzige Thermometer ist defekt oder nicht die passenden Batterien verfügbar. Kleinigkeiten können schon dazu führen, den Sud verschieben zu müssen.</t>
        </r>
      </text>
    </comment>
    <comment ref="F7" authorId="0" shapeId="0" xr:uid="{2B6EDCF0-1B12-480A-96B8-61AA7E415FB4}">
      <text>
        <r>
          <rPr>
            <sz val="9"/>
            <color indexed="81"/>
            <rFont val="Segoe UI"/>
            <family val="2"/>
          </rPr>
          <t>Der Lagerbericht dient zum Verfolgen der Nachgärung, insbesondere der Entwicklung der CO2-Bindung. Diese ist derzeit nur für Fassgärung dargestellt, man kann hier aber natürlich auch die Flaschengärung eintragen.</t>
        </r>
      </text>
    </comment>
    <comment ref="B9" authorId="0" shapeId="0" xr:uid="{D681A1CF-ED97-4701-8D7C-1A55FD4DEF0F}">
      <text>
        <r>
          <rPr>
            <sz val="9"/>
            <color indexed="81"/>
            <rFont val="Segoe UI"/>
            <family val="2"/>
          </rPr>
          <t>Hier findet sich eine Vorlage, die verwendet werden kann, um den Sud ordnungsgemäß anzumelden. Nach aktuellem Stand muss der erste Sud des Jahres angemeldet werden. Sollte dabei die Freimenge von 2hl pro Jahr nicht überschritten werden, sind keine weiteren Meldungen an das jeweilige HZA nötig.</t>
        </r>
      </text>
    </comment>
    <comment ref="F9" authorId="0" shapeId="0" xr:uid="{3C67F2CE-BC53-4166-A5EE-13DBC148EF3E}">
      <text>
        <r>
          <rPr>
            <sz val="9"/>
            <color indexed="81"/>
            <rFont val="Segoe UI"/>
            <family val="2"/>
          </rPr>
          <t>Im Verkostungsbogen kann das selbstgebraute Bier beurteilt werden. Insbesondere hilfreich, wenn man nicht ganz zufrieden war und für den nächsten Sud Verbesserungen einb(r)auen will.</t>
        </r>
      </text>
    </comment>
    <comment ref="B11" authorId="0" shapeId="0" xr:uid="{B82AEF22-21E8-47D4-8D2F-C99B16B2478A}">
      <text>
        <r>
          <rPr>
            <sz val="9"/>
            <color indexed="81"/>
            <rFont val="Segoe UI"/>
            <family val="2"/>
          </rPr>
          <t>Hier wird die Rezeptur des Bieres verwaltet. Das Bierglas gibt nach erfolgreicher Eingabe aller Informationen ein grobes Farbspektrum, wie das fertige Bier später aussehen wird. Dies ist natürlich nur eine ungefähre Angabe. Alle nötigen Angaben werden in das Sudjournal übernommen.</t>
        </r>
      </text>
    </comment>
    <comment ref="F11" authorId="0" shapeId="0" xr:uid="{0B4015FA-10CB-49FB-BBAD-A7F105B578F3}">
      <text>
        <r>
          <rPr>
            <sz val="9"/>
            <color indexed="81"/>
            <rFont val="Segoe UI"/>
            <family val="2"/>
          </rPr>
          <t>Wenn Untappd genutzt wird, wird hier erklärt, wie man einen QR Code generiert.</t>
        </r>
      </text>
    </comment>
    <comment ref="B13" authorId="0" shapeId="0" xr:uid="{88E1768F-0A28-4A80-9957-AEEF7B28C53B}">
      <text>
        <r>
          <rPr>
            <sz val="9"/>
            <color indexed="81"/>
            <rFont val="Segoe UI"/>
            <family val="2"/>
          </rPr>
          <t xml:space="preserve">Im Sudjournal wird der Sud protokolliert. Alle Angaben zu Zeiten und durchgeführten Rasten können hier dokumentiert werden.
</t>
        </r>
      </text>
    </comment>
    <comment ref="F13" authorId="0" shapeId="0" xr:uid="{4399B047-1062-44B7-8206-43E3993E9DE9}">
      <text>
        <r>
          <rPr>
            <sz val="9"/>
            <color indexed="81"/>
            <rFont val="Segoe UI"/>
            <family val="2"/>
          </rPr>
          <t>Aus den Angaben aus diesem Brau-Journal wird automatisch eine Banderole für die Bierflasche erstellt.</t>
        </r>
      </text>
    </comment>
    <comment ref="B15" authorId="0" shapeId="0" xr:uid="{72F5938D-8B43-4815-BEF2-7C6DFB051398}">
      <text>
        <r>
          <rPr>
            <sz val="9"/>
            <color indexed="81"/>
            <rFont val="Segoe UI"/>
            <family val="2"/>
          </rPr>
          <t>Da man während des Brauens nicht unbedingt immer am PC sitzen kann, kann dieses Handout ausgedruckt werden und soll den Brauprozess begleiten.</t>
        </r>
      </text>
    </comment>
    <comment ref="F15" authorId="0" shapeId="0" xr:uid="{F688AAE2-B84D-4A04-A4D2-B26C071C6138}">
      <text>
        <r>
          <rPr>
            <sz val="9"/>
            <color indexed="81"/>
            <rFont val="Segoe UI"/>
            <family val="2"/>
          </rPr>
          <t>Aus den Angaben aus diesem Brau-Journal wird automatisch eine Zapfschild bzw. Bauch-Etikett für das Bier erstellt.</t>
        </r>
      </text>
    </comment>
    <comment ref="B17" authorId="1" shapeId="0" xr:uid="{00000000-0006-0000-0000-00000C000000}">
      <text>
        <r>
          <rPr>
            <sz val="9"/>
            <color indexed="81"/>
            <rFont val="Segoe UI"/>
            <family val="2"/>
          </rPr>
          <t>Was bisher geschah...</t>
        </r>
      </text>
    </comment>
    <comment ref="F17" authorId="0" shapeId="0" xr:uid="{00000000-0006-0000-0000-00000D000000}">
      <text>
        <r>
          <rPr>
            <sz val="9"/>
            <color indexed="81"/>
            <rFont val="Segoe UI"/>
            <family val="2"/>
          </rPr>
          <t>Unter "Daten" sind die in der Rezeptkarte auszwählenden Rohstoffe und Bierstile eingetragen und können hier beliebig erweitert werden. 
Bei der Erweiterung, die entsprechenden Zeilen an der gewünschten Stelle markieren und mit rechtem Mausklick "Zellen einfügen" und die "Zellen nach unten verschieben", um unnötige Leerzeilen zu vermeiden.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s>
  <commentList>
    <comment ref="C25" authorId="0" shapeId="0" xr:uid="{5F513F47-C287-4AC3-98F7-E512DAD54056}">
      <text>
        <r>
          <rPr>
            <sz val="8"/>
            <color indexed="81"/>
            <rFont val="Tahoma"/>
            <family val="2"/>
          </rPr>
          <t>Es sollte wegen des Bierschwandes mit einer gegenüber der gewünschten Biermenge entsprechend erhöhten Ausschlagwürzemenge gerechnet werden. Die Stammwürze der Ausschlagmenge entspricht in etwa der vom Zollamt zur Berechnung der Biersteuer herangezogenen Stammwürze. Die Sudhausausbeute beträgt in modernen Brauereien 75% und mehr. Solche Werte werden allerdings im Kleinversuch nicht erreicht. Liegen keine Erfahrungswerte vor, empfiehlt es sich, mit maximal 70 % (evtl. noch weniger) zu rechnen.</t>
        </r>
      </text>
    </comment>
    <comment ref="C28" authorId="0" shapeId="0" xr:uid="{7B15B5FD-2D6E-42E3-8877-7D9111E670FC}">
      <text>
        <r>
          <rPr>
            <sz val="8"/>
            <color indexed="81"/>
            <rFont val="Tahoma"/>
            <family val="2"/>
          </rPr>
          <t>Mit dem Begriff Hauptguss bezeichnet der Brauer die Wassermenge, die er zum Einmaischen des Malzschrotes benötigt. Der Hauptguss macht etwa die Hälfte der gesamten, benötigten Brauwassermenge aus. Die zweite Hälfte des Brauwassers wird als Nachguss bezeichnet. Überschlägig rechnet man für den Hauptguss mit etwa 4 bis 5 l Wasser pro kg Malz bei hellem Bier bzw. 3 bis 4 l Wasser pro kg Malz bei dunklem Bier.</t>
        </r>
      </text>
    </comment>
    <comment ref="G29" authorId="1" shapeId="0" xr:uid="{7C8984A3-BA18-4311-9084-7C72316F28F2}">
      <text>
        <r>
          <rPr>
            <sz val="8"/>
            <color indexed="81"/>
            <rFont val="Tahoma"/>
            <family val="2"/>
          </rPr>
          <t>Die Vorderwürzekonzentration in Masseprozenten ist frei zu wählen; sie liegt bei Vollbieren zwischen 14 und 17 % und bei Starkbieren zwischen 17 und 22%.</t>
        </r>
      </text>
    </comment>
    <comment ref="C31" authorId="0" shapeId="0" xr:uid="{8BF0305A-2F1C-472D-8BF5-C0FDC395C3ED}">
      <text>
        <r>
          <rPr>
            <sz val="8"/>
            <color indexed="81"/>
            <rFont val="Tahoma"/>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C33" authorId="1" shapeId="0" xr:uid="{BA42A769-47F2-4993-9EED-3FC0EBD886DC}">
      <text>
        <r>
          <rPr>
            <sz val="8"/>
            <color indexed="81"/>
            <rFont val="Tahoma"/>
            <family val="2"/>
          </rPr>
          <t>Der EBC (</t>
        </r>
        <r>
          <rPr>
            <b/>
            <sz val="8"/>
            <color indexed="81"/>
            <rFont val="Tahoma"/>
            <family val="2"/>
          </rPr>
          <t>E</t>
        </r>
        <r>
          <rPr>
            <sz val="8"/>
            <color indexed="81"/>
            <rFont val="Tahoma"/>
            <family val="2"/>
          </rPr>
          <t xml:space="preserve">uropean </t>
        </r>
        <r>
          <rPr>
            <b/>
            <sz val="8"/>
            <color indexed="81"/>
            <rFont val="Tahoma"/>
            <family val="2"/>
          </rPr>
          <t>B</t>
        </r>
        <r>
          <rPr>
            <sz val="8"/>
            <color indexed="81"/>
            <rFont val="Tahoma"/>
            <family val="2"/>
          </rPr>
          <t xml:space="preserve">rewery </t>
        </r>
        <r>
          <rPr>
            <b/>
            <sz val="8"/>
            <color indexed="81"/>
            <rFont val="Tahoma"/>
            <family val="2"/>
          </rPr>
          <t>C</t>
        </r>
        <r>
          <rPr>
            <sz val="8"/>
            <color indexed="81"/>
            <rFont val="Tahoma"/>
            <family val="2"/>
          </rPr>
          <t>onvention)-Farbwert ist eine europäische Maßeinheit zur Bestimmung der Farbe des Malzes bzw. des Bieres. Anhand des festgelegten Farbwertes des Malzes lässt sich näherungsweise auch der Farbwert des Bieres ermitteln. Pilsbiere z.B. liegen im EBC-Bereich 20-30, währenddessen ein Schwarzbier bei 100 EBC liegen kann. Die hier zugrundeliegende Farbwertskala gibt daher Aufschluss über die Farbe des gebrauten Bieres aufgrund der Angaben zu den EBC-Werten der eingesetzten Malzsorten.</t>
        </r>
      </text>
    </comment>
    <comment ref="C42" authorId="0" shapeId="0" xr:uid="{BE9B5AC3-4A58-44AA-8185-97AFEA42B582}">
      <text>
        <r>
          <rPr>
            <sz val="8"/>
            <color indexed="81"/>
            <rFont val="Tahoma"/>
            <family val="2"/>
          </rPr>
          <t>Die IBU (</t>
        </r>
        <r>
          <rPr>
            <b/>
            <sz val="8"/>
            <color indexed="81"/>
            <rFont val="Tahoma"/>
            <family val="2"/>
          </rPr>
          <t>I</t>
        </r>
        <r>
          <rPr>
            <sz val="8"/>
            <color indexed="81"/>
            <rFont val="Tahoma"/>
            <family val="2"/>
          </rPr>
          <t xml:space="preserve">nternational </t>
        </r>
        <r>
          <rPr>
            <b/>
            <sz val="8"/>
            <color indexed="81"/>
            <rFont val="Tahoma"/>
            <family val="2"/>
          </rPr>
          <t>B</t>
        </r>
        <r>
          <rPr>
            <sz val="8"/>
            <color indexed="81"/>
            <rFont val="Tahoma"/>
            <family val="2"/>
          </rPr>
          <t xml:space="preserve">ittering </t>
        </r>
        <r>
          <rPr>
            <b/>
            <sz val="8"/>
            <color indexed="81"/>
            <rFont val="Tahoma"/>
            <family val="2"/>
          </rPr>
          <t>U</t>
        </r>
        <r>
          <rPr>
            <sz val="8"/>
            <color indexed="81"/>
            <rFont val="Tahoma"/>
            <family val="2"/>
          </rPr>
          <t xml:space="preserve">nits) geben die Bittere des Bieres an, die sich aus dem </t>
        </r>
        <r>
          <rPr>
            <sz val="8"/>
            <color indexed="81"/>
            <rFont val="Sylfaen"/>
            <family val="1"/>
          </rPr>
          <t>α</t>
        </r>
        <r>
          <rPr>
            <sz val="8"/>
            <color indexed="81"/>
            <rFont val="Tahoma"/>
            <family val="2"/>
          </rPr>
          <t>-Säuregehalt des Hopfens ergeben. Um nun zu berechnen, wieviel der Bitterstoffe des Hopfens in das Bier übergehen, gibt es verschiedene Formeln, die mehrere Faktoren berücksichtigen. Hier haben sich die Berechnungen des US-amerikanischen Hobbybrauers Glenn Tinseth bewährt (http://realbeer.com/hops/). Diese Formel ist auch Grundlage dieses Brau-Journals.</t>
        </r>
      </text>
    </comment>
    <comment ref="C51" authorId="1" shapeId="0" xr:uid="{A4E6C876-4E78-4480-8643-95820717A3E4}">
      <text>
        <r>
          <rPr>
            <sz val="8"/>
            <color indexed="81"/>
            <rFont val="Tahoma"/>
            <family val="2"/>
          </rPr>
          <t>Der CO2-Gehalt ist abhängig von der Temperatur und dem Druck. Die Löslichkeit von CO2 ist umso größer, je tiefer die Temperatur liegt. 
Typische CO2-Gehalte sind für Vollbiere: 4,0-5,5 g/l und Weizenbiere: 6,5-9,0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User01</author>
    <author>trami</author>
  </authors>
  <commentList>
    <comment ref="D11" authorId="0" shapeId="0" xr:uid="{00000000-0006-0000-0500-000001000000}">
      <text>
        <r>
          <rPr>
            <sz val="8"/>
            <color indexed="81"/>
            <rFont val="Tahoma"/>
            <family val="2"/>
          </rPr>
          <t>Es sollte wegen des Bierschwandes mit einer gegenüber der gewünschten Biermenge entsprechend erhöhten Ausschlagwürzemenge gerechnet werden. Die Stammwürze der Ausschlagmenge entspricht in etwa der vom Zollamt zur Berechnung der Biersteuer herangezogenen Stammwürze. Die Sudhausausbeute beträgt in modernen Brauereien 75% und mehr. Solche Werte werden allerdings im Kleinversuch nicht erreicht. Liegen keine Erfahrungswerte vor, empfiehlt es sich, mit maximal 70 % (evtl. noch weniger) zu rechnen.</t>
        </r>
      </text>
    </comment>
    <comment ref="AD11" authorId="1" shapeId="0" xr:uid="{00000000-0006-0000-0500-000002000000}">
      <text>
        <r>
          <rPr>
            <sz val="8"/>
            <color indexed="81"/>
            <rFont val="Tahoma"/>
            <family val="2"/>
          </rPr>
          <t>Der EBC (</t>
        </r>
        <r>
          <rPr>
            <b/>
            <sz val="8"/>
            <color indexed="81"/>
            <rFont val="Tahoma"/>
            <family val="2"/>
          </rPr>
          <t>E</t>
        </r>
        <r>
          <rPr>
            <sz val="8"/>
            <color indexed="81"/>
            <rFont val="Tahoma"/>
            <family val="2"/>
          </rPr>
          <t xml:space="preserve">uropean </t>
        </r>
        <r>
          <rPr>
            <b/>
            <sz val="8"/>
            <color indexed="81"/>
            <rFont val="Tahoma"/>
            <family val="2"/>
          </rPr>
          <t>B</t>
        </r>
        <r>
          <rPr>
            <sz val="8"/>
            <color indexed="81"/>
            <rFont val="Tahoma"/>
            <family val="2"/>
          </rPr>
          <t xml:space="preserve">rewery </t>
        </r>
        <r>
          <rPr>
            <b/>
            <sz val="8"/>
            <color indexed="81"/>
            <rFont val="Tahoma"/>
            <family val="2"/>
          </rPr>
          <t>C</t>
        </r>
        <r>
          <rPr>
            <sz val="8"/>
            <color indexed="81"/>
            <rFont val="Tahoma"/>
            <family val="2"/>
          </rPr>
          <t>onvention)-Farbwert ist eine europäische Maßeinheit zur Bestimmung der Farbe des Malzes bzw. des Bieres. Anhand des festgelegten Farbwertes des Malzes lässt sich näherungsweise auch der Farbwert des Bieres ermitteln. Pilsbiere z.B. liegen im EBC-Bereich 20-30, währenddessen ein Schwarzbier bei 100 EBC liegen kann. Die hier zugrundeliegende Farbwertskala gibt daher Aufschluss über die Farbe des gebrauten Bieres aufgrund der Angaben zu den EBC-Werten der eingesetzten Malzsorten.</t>
        </r>
      </text>
    </comment>
    <comment ref="R13" authorId="2" shapeId="0" xr:uid="{00000000-0006-0000-0500-000003000000}">
      <text>
        <r>
          <rPr>
            <sz val="8"/>
            <color indexed="81"/>
            <rFont val="Tahoma"/>
            <family val="2"/>
          </rPr>
          <t>Zur Verbesserung des Läuterverhaltens und der Sudhausausbeute empfiehlt es sich, dass Malz vor dem Schroten zu konditionieren, also mit Wasser zu befeuchten. 8 ml Wasser pro kg (= 0,8%) ist ausreichend. Die Menge Wasser vor dem Schroten gut untermischen, so dass sich keine Wassernester bilden. Nach ca. einer halben Stunde kann bereits geschrotet werden. Manche Hobbybrauer konditionieren sogar schon 24h vor dem Schroten.</t>
        </r>
      </text>
    </comment>
    <comment ref="R52" authorId="0" shapeId="0" xr:uid="{00000000-0006-0000-0500-000004000000}">
      <text>
        <r>
          <rPr>
            <sz val="8"/>
            <color indexed="81"/>
            <rFont val="Tahoma"/>
            <family val="2"/>
          </rPr>
          <t>Die IBU (</t>
        </r>
        <r>
          <rPr>
            <b/>
            <sz val="8"/>
            <color indexed="81"/>
            <rFont val="Tahoma"/>
            <family val="2"/>
          </rPr>
          <t>I</t>
        </r>
        <r>
          <rPr>
            <sz val="8"/>
            <color indexed="81"/>
            <rFont val="Tahoma"/>
            <family val="2"/>
          </rPr>
          <t xml:space="preserve">nternational </t>
        </r>
        <r>
          <rPr>
            <b/>
            <sz val="8"/>
            <color indexed="81"/>
            <rFont val="Tahoma"/>
            <family val="2"/>
          </rPr>
          <t>B</t>
        </r>
        <r>
          <rPr>
            <sz val="8"/>
            <color indexed="81"/>
            <rFont val="Tahoma"/>
            <family val="2"/>
          </rPr>
          <t xml:space="preserve">ittering </t>
        </r>
        <r>
          <rPr>
            <b/>
            <sz val="8"/>
            <color indexed="81"/>
            <rFont val="Tahoma"/>
            <family val="2"/>
          </rPr>
          <t>U</t>
        </r>
        <r>
          <rPr>
            <sz val="8"/>
            <color indexed="81"/>
            <rFont val="Tahoma"/>
            <family val="2"/>
          </rPr>
          <t xml:space="preserve">nits) geben die Bittere des Bieres an, die sich aus dem </t>
        </r>
        <r>
          <rPr>
            <sz val="8"/>
            <color indexed="81"/>
            <rFont val="Sylfaen"/>
            <family val="1"/>
          </rPr>
          <t>α</t>
        </r>
        <r>
          <rPr>
            <sz val="8"/>
            <color indexed="81"/>
            <rFont val="Tahoma"/>
            <family val="2"/>
          </rPr>
          <t>-Säuregehalt des Hopfens ergeben. Um nun zu berechnen, wieviel der Bitterstoffe des Hopfens in das Bier übergehen, gibt es verschiedene Formeln, die mehrere Faktoren berücksichtigen. Hier haben sich die Berechnungen des US-amerikanischen Hobbybrauers Glenn Tinseth bewährt (http://realbeer.com/hops/). Diese Formel ist auch Grundlage dieses Sud-Journals.</t>
        </r>
      </text>
    </comment>
    <comment ref="AE55" authorId="3" shapeId="0" xr:uid="{318BD13C-E2C6-471B-BB84-536C61F09463}">
      <text>
        <r>
          <rPr>
            <sz val="8"/>
            <color indexed="81"/>
            <rFont val="Tahoma"/>
            <family val="2"/>
          </rPr>
          <t>bei der Verwendung von Hopfensäckchen o.ä. verringert sich die Hopfenausnutzung um ca. 10%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User01</author>
    <author>R</author>
    <author>ls_hetkamp</author>
    <author>trami</author>
  </authors>
  <commentList>
    <comment ref="D9" authorId="0" shapeId="0" xr:uid="{00000000-0006-0000-0700-000001000000}">
      <text>
        <r>
          <rPr>
            <sz val="8"/>
            <color indexed="81"/>
            <rFont val="Tahoma"/>
            <family val="2"/>
          </rPr>
          <t>Zur Verbesserung des Läuterverhaltens und der Sudhausausbeute empfiehlt es sich, das Malz vor dem Schroten zu konditionieren, also mit Wasser zu befeuchten. 8 ml Wasser pro kg (= 0,8%) ist ausreichend. Die Menge Wasser vor dem Schroten gut untermischen, so dass sich keine Wassernester bilden. Nach ca. einer halben Stunde kann bereits geschrotet werden. Manche Hobbybrauer konditionieren sogar schon 24h vor dem Schroten.</t>
        </r>
      </text>
    </comment>
    <comment ref="D11" authorId="1" shapeId="0" xr:uid="{00000000-0006-0000-0700-000002000000}">
      <text>
        <r>
          <rPr>
            <sz val="8"/>
            <color indexed="81"/>
            <rFont val="Tahoma"/>
            <family val="2"/>
          </rPr>
          <t>Mit dem Begriff Hauptguss bezeichnet der Brauer die Wassermenge, die er zum Einmaischen des Malzschrotes benötigt. Der Hauptguss macht etwa die Hälfte der gesamten, benötigten Brauwassermenge aus. Die zweite Hälfte des Brauwassers wird als Nachguss bezeichnet. Überschlägig rechnet man für den Hauptguss mit etwa 4 bis 5 l Wasser pro kg Malz bei hellem Bier bzw. 3 bis 4 l Wasser pro kg Malz bei dunklem Bier.</t>
        </r>
      </text>
    </comment>
    <comment ref="O11" authorId="2" shapeId="0" xr:uid="{00000000-0006-0000-0700-000003000000}">
      <text>
        <r>
          <rPr>
            <sz val="8"/>
            <color indexed="81"/>
            <rFont val="Tahoma"/>
            <family val="2"/>
          </rPr>
          <t>Die Vorderwürzekonzentration in Masseprozenten ist frei zu wählen; sie liegt bei Vollbieren zwischen 14 und 17 % und bei Starkbieren zwischen 17 und 22%.</t>
        </r>
      </text>
    </comment>
    <comment ref="D14" authorId="1" shapeId="0" xr:uid="{00000000-0006-0000-0700-000004000000}">
      <text>
        <r>
          <rPr>
            <sz val="8"/>
            <color indexed="81"/>
            <rFont val="Tahoma"/>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AD24" authorId="3" shapeId="0" xr:uid="{00000000-0006-0000-0700-000005000000}">
      <text>
        <r>
          <rPr>
            <sz val="8"/>
            <color indexed="81"/>
            <rFont val="Tahoma"/>
            <family val="2"/>
          </rPr>
          <t>eine Variante des Maischens ist das Bottichmaischverfahren. Hier werden die Rasten durch Zubrühen in einem gut isolierten Behälter eingestellt. 
Dafür muss eine Menge an Wasser auf eine Temperatur hochgeheizt werden und dies wird dann der Maische zugegeben. Die Menge an Wasser gibst du vor und daraus wird die Temperatur zur Erreichen der nächsten Raststufe errechnet.
Dafür benötigt werden thermische Werte, die im rechten Kasten ermittelt werden. Speziell die Abkühlung pro Rast ist empirisch zu ermitteln.
Die Vorgaben hierzu habe ich dem Brau!Magazin entnommen, der weitere Hintergründe zu diesem Maischverfahren erklärt:
https://braumagazin.de/article/verkocht-und-zugebrueht/</t>
        </r>
      </text>
    </comment>
    <comment ref="S56" authorId="2" shapeId="0" xr:uid="{00000000-0006-0000-0700-000006000000}">
      <text>
        <r>
          <rPr>
            <sz val="8"/>
            <color indexed="81"/>
            <rFont val="Tahoma"/>
            <family val="2"/>
          </rPr>
          <t>Verteilung von Haupt- und Nachguss bei Vollbier in Abhängigkeit von der Vorderwürzekonzentration:
Vorderwürzekonzentration &lt; 15%  
=&gt;Verhältnis Hauptguss : Nachguss = 1,0 : 0,7
Vorderwürzekonzentration 15-17%  
=&gt;Verhältnis Hauptguss : Nachguss = 1,0 : 1,0
Vorderwürzekonzentration &gt; 17%  
=&gt;Verhältnis Hauptguss : Nachguss = 1,0 : 1,2</t>
        </r>
      </text>
    </comment>
    <comment ref="I78" authorId="1" shapeId="0" xr:uid="{00000000-0006-0000-0700-000007000000}">
      <text>
        <r>
          <rPr>
            <sz val="8"/>
            <color indexed="81"/>
            <rFont val="Tahoma"/>
            <family val="2"/>
          </rPr>
          <t>Empfehlung: 10% der Ausschlagwürze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User01</author>
    <author>R</author>
    <author>ls_hetkamp</author>
    <author>trami</author>
  </authors>
  <commentList>
    <comment ref="D9" authorId="0" shapeId="0" xr:uid="{6285C744-CC45-49C1-8E81-5DD9F44493E6}">
      <text>
        <r>
          <rPr>
            <sz val="8"/>
            <color indexed="81"/>
            <rFont val="Tahoma"/>
            <family val="2"/>
          </rPr>
          <t>Zur Verbesserung des Läuterverhaltens und der Sudhausausbeute empfiehlt es sich, das Malz vor dem Schroten zu konditionieren, also mit Wasser zu befeuchten. 8 ml Wasser pro kg (= 0,8%) ist ausreichend. Die Menge Wasser vor dem Schroten gut untermischen, so dass sich keine Wassernester bilden. Nach ca. einer halben Stunde kann bereits geschrotet werden. Manche Hobbybrauer konditionieren sogar schon 24h vor dem Schroten.</t>
        </r>
      </text>
    </comment>
    <comment ref="D11" authorId="1" shapeId="0" xr:uid="{93DB8B53-9AE0-43D2-AD39-28F11F57035C}">
      <text>
        <r>
          <rPr>
            <sz val="8"/>
            <color indexed="81"/>
            <rFont val="Tahoma"/>
            <family val="2"/>
          </rPr>
          <t>Mit dem Begriff Hauptguss bezeichnet der Brauer die Wassermenge, die er zum Einmaischen des Malzschrotes benötigt. Der Hauptguss macht etwa die Hälfte der gesamten, benötigten Brauwassermenge aus. Die zweite Hälfte des Brauwassers wird als Nachguss bezeichnet. Überschlägig rechnet man für den Hauptguss mit etwa 4 bis 5 l Wasser pro kg Malz bei hellem Bier bzw. 3 bis 4 l Wasser pro kg Malz bei dunklem Bier.</t>
        </r>
      </text>
    </comment>
    <comment ref="O11" authorId="2" shapeId="0" xr:uid="{90D3B6A5-2689-472B-8C3D-8E3C70A9AD31}">
      <text>
        <r>
          <rPr>
            <sz val="8"/>
            <color indexed="81"/>
            <rFont val="Tahoma"/>
            <family val="2"/>
          </rPr>
          <t>Die Vorderwürzekonzentration in Masseprozenten ist frei zu wählen; sie liegt bei Vollbieren zwischen 14 und 17 % und bei Starkbieren zwischen 17 und 22%.</t>
        </r>
      </text>
    </comment>
    <comment ref="D14" authorId="1" shapeId="0" xr:uid="{B59A77DA-FE32-4FDE-93B2-AA079D024727}">
      <text>
        <r>
          <rPr>
            <sz val="8"/>
            <color indexed="81"/>
            <rFont val="Tahoma"/>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AD24" authorId="3" shapeId="0" xr:uid="{2F41A5EB-5390-4F8F-BA83-00B8FC1C39E7}">
      <text>
        <r>
          <rPr>
            <sz val="8"/>
            <color indexed="81"/>
            <rFont val="Tahoma"/>
            <family val="2"/>
          </rPr>
          <t>eine Variante des Maischens ist das Bottichmaischverfahren. Hier werden die Rasten durch Zubrühen in einem gut isolierten Behälter eingestellt. 
Dafür muss eine Menge an Wasser auf eine Temperatur hochgeheizt werden und dies wird dann der Maische zugegeben. Die Menge an Wasser gibst du vor und daraus wird die Temperatur zur Erreichen der nächsten Raststufe errechnet.
Dafür benötigt werden thermische Werte, die im rechten Kasten ermittelt werden. Speziell die Abkühlung pro Rast ist empirisch zu ermitteln.
Die Vorgaben hierzu habe ich dem Brau!Magazin entnommen, der weitere Hintergründe zu diesem Maischverfahren erklärt:
https://braumagazin.de/article/verkocht-und-zugebrueht/</t>
        </r>
      </text>
    </comment>
    <comment ref="S56" authorId="2" shapeId="0" xr:uid="{697E7353-17B5-4642-8E50-28C76A5CDB4F}">
      <text>
        <r>
          <rPr>
            <sz val="8"/>
            <color indexed="81"/>
            <rFont val="Tahoma"/>
            <family val="2"/>
          </rPr>
          <t>Verteilung von Haupt- und Nachguss bei Vollbier in Abhängigkeit von der Vorderwürzekonzentration:
Vorderwürzekonzentration &lt; 15%  
=&gt;Verhältnis Hauptguss : Nachguss = 1,0 : 0,7
Vorderwürzekonzentration 15-17%  
=&gt;Verhältnis Hauptguss : Nachguss = 1,0 : 1,0
Vorderwürzekonzentration &gt; 17%  
=&gt;Verhältnis Hauptguss : Nachguss = 1,0 : 1,2</t>
        </r>
      </text>
    </comment>
    <comment ref="I78" authorId="1" shapeId="0" xr:uid="{180F159D-3A79-424B-82EE-E6ACD2420ACF}">
      <text>
        <r>
          <rPr>
            <sz val="8"/>
            <color indexed="81"/>
            <rFont val="Tahoma"/>
            <family val="2"/>
          </rPr>
          <t>Empfehlung: 10% der Ausschlagwürze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ls_hetkamp</author>
    <author>trami</author>
    <author>R</author>
  </authors>
  <commentList>
    <comment ref="C6" authorId="0" shapeId="0" xr:uid="{00000000-0006-0000-0900-000001000000}">
      <text>
        <r>
          <rPr>
            <b/>
            <sz val="8"/>
            <color indexed="81"/>
            <rFont val="Tahoma"/>
            <family val="2"/>
          </rPr>
          <t xml:space="preserve">Aufgaben der Hauptgärung:
</t>
        </r>
        <r>
          <rPr>
            <sz val="8"/>
            <color indexed="81"/>
            <rFont val="Tahoma"/>
            <family val="2"/>
          </rPr>
          <t xml:space="preserve">=&gt; Vergären der Würze =&gt; Bildung von Alkohol, CO2, Geruchs- und Geschmacksstoffen, Bieraroma 
</t>
        </r>
        <r>
          <rPr>
            <b/>
            <sz val="8"/>
            <color indexed="81"/>
            <rFont val="Tahoma"/>
            <family val="2"/>
          </rPr>
          <t xml:space="preserve">Nebeneffekte:
</t>
        </r>
        <r>
          <rPr>
            <sz val="8"/>
            <color indexed="81"/>
            <rFont val="Tahoma"/>
            <family val="2"/>
          </rPr>
          <t xml:space="preserve">- Wärmebildung
- Ausscheidung von Hopfenbitterstoffen
- Bildung von Bukettstoffen (Säuren, Ester, S haltige Verbindungen)
- Bildung von Gärungsnebenprodukten (höhere Alkohole = Fuselöle, Diacetyl, …)
- Hefevermehrung
- pH Abfall, sowie Farbaufhellung </t>
        </r>
      </text>
    </comment>
    <comment ref="AL6" authorId="1" shapeId="0" xr:uid="{00000000-0006-0000-0900-000002000000}">
      <text>
        <r>
          <rPr>
            <sz val="8"/>
            <color indexed="81"/>
            <rFont val="Tahoma"/>
            <family val="2"/>
          </rPr>
          <t>Stammwürzegehalt beim Anstellen der Würze.</t>
        </r>
      </text>
    </comment>
    <comment ref="O7" authorId="2" shapeId="0" xr:uid="{00000000-0006-0000-0900-000003000000}">
      <text>
        <r>
          <rPr>
            <sz val="8"/>
            <color indexed="81"/>
            <rFont val="Tahoma"/>
            <family val="2"/>
          </rPr>
          <t xml:space="preserve">Der (Scheinbare) Restextrakt wird berechnet aus dem Stammwürzegehalt des Sudes und dem Endvergärungsgrad der eingesetzten Hefe nach Herstellerangaben.
Der (Scheinbarer) Restextrakt kann aber auch mittels Schnellvergärprobe (Vergärung bei 25-30°C mit erhöhter Hefegabe) ermittelt werden.
</t>
        </r>
        <r>
          <rPr>
            <b/>
            <sz val="8"/>
            <color indexed="81"/>
            <rFont val="Tahoma"/>
            <family val="2"/>
          </rPr>
          <t>Zur Spindelmessung muss das gelöste CO2 größtmöglich ausgetrieben sein.</t>
        </r>
      </text>
    </comment>
    <comment ref="AL7" authorId="1" shapeId="0" xr:uid="{00000000-0006-0000-0900-000004000000}">
      <text>
        <r>
          <rPr>
            <sz val="8"/>
            <color indexed="81"/>
            <rFont val="Tahoma"/>
            <family val="2"/>
          </rPr>
          <t xml:space="preserve">Stammwürzegehalt vor dem Schlauchen des Jungbieres.
</t>
        </r>
      </text>
    </comment>
    <comment ref="C28" authorId="0" shapeId="0" xr:uid="{00000000-0006-0000-0900-000005000000}">
      <text>
        <r>
          <rPr>
            <sz val="8"/>
            <color indexed="81"/>
            <rFont val="Tahoma"/>
            <family val="2"/>
          </rPr>
          <t xml:space="preserve">Die Hefegattungen </t>
        </r>
        <r>
          <rPr>
            <b/>
            <sz val="8"/>
            <color indexed="81"/>
            <rFont val="Tahoma"/>
            <family val="2"/>
          </rPr>
          <t xml:space="preserve">untergärig </t>
        </r>
        <r>
          <rPr>
            <sz val="8"/>
            <color indexed="81"/>
            <rFont val="Tahoma"/>
            <family val="2"/>
          </rPr>
          <t xml:space="preserve">und </t>
        </r>
        <r>
          <rPr>
            <b/>
            <sz val="8"/>
            <color indexed="81"/>
            <rFont val="Tahoma"/>
            <family val="2"/>
          </rPr>
          <t>obergärig</t>
        </r>
        <r>
          <rPr>
            <sz val="8"/>
            <color indexed="81"/>
            <rFont val="Tahoma"/>
            <family val="2"/>
          </rPr>
          <t xml:space="preserve"> unterscheiden sich auch in den Temperaturoptima der Hauptgärung. Prinzipiell lässt sich sagen, dass die Temperaturführung von obergäriger Hefe um ein Vielfaches höher liegt, als dies bei untergäriger Hefe der Fall ist.
Empfohlen werden hier die Temperaturoptima für den Verlauf der Hauptgärung bezogen auf die Hefegattung </t>
        </r>
        <r>
          <rPr>
            <b/>
            <sz val="8"/>
            <color indexed="81"/>
            <rFont val="Tahoma"/>
            <family val="2"/>
          </rPr>
          <t>untergärig/obergärig</t>
        </r>
        <r>
          <rPr>
            <sz val="8"/>
            <color indexed="81"/>
            <rFont val="Tahoma"/>
            <family val="2"/>
          </rPr>
          <t>.</t>
        </r>
        <r>
          <rPr>
            <i/>
            <sz val="8"/>
            <color indexed="81"/>
            <rFont val="Arial"/>
            <family val="2"/>
          </rPr>
          <t xml:space="preserve">
</t>
        </r>
      </text>
    </comment>
    <comment ref="F29" authorId="2" shapeId="0" xr:uid="{00000000-0006-0000-0900-000007000000}">
      <text>
        <r>
          <rPr>
            <i/>
            <sz val="8"/>
            <color indexed="81"/>
            <rFont val="Arial"/>
            <family val="2"/>
          </rPr>
          <t>empfohlene Hauptgärtemperatur bei gewählter Hefegattung</t>
        </r>
      </text>
    </comment>
    <comment ref="C33" authorId="0" shapeId="0" xr:uid="{00000000-0006-0000-0900-000008000000}">
      <text>
        <r>
          <rPr>
            <sz val="8"/>
            <color indexed="81"/>
            <rFont val="Tahoma"/>
            <family val="2"/>
          </rPr>
          <t xml:space="preserve">Während der Gärung wird ständig Extrakt umgewandelt. Das Maß der Umwandlung heißt Vergärungsgrad. Wir unterscheiden hierbei sowohl zwischen dem </t>
        </r>
        <r>
          <rPr>
            <b/>
            <sz val="8"/>
            <color indexed="81"/>
            <rFont val="Tahoma"/>
            <family val="2"/>
          </rPr>
          <t>Endvergärungsgrad EVG</t>
        </r>
        <r>
          <rPr>
            <sz val="8"/>
            <color indexed="81"/>
            <rFont val="Tahoma"/>
            <family val="2"/>
          </rPr>
          <t xml:space="preserve">, dem </t>
        </r>
        <r>
          <rPr>
            <b/>
            <sz val="8"/>
            <color indexed="81"/>
            <rFont val="Tahoma"/>
            <family val="2"/>
          </rPr>
          <t>Gärkellervergärungsgrad GVG</t>
        </r>
        <r>
          <rPr>
            <sz val="8"/>
            <color indexed="81"/>
            <rFont val="Tahoma"/>
            <family val="2"/>
          </rPr>
          <t xml:space="preserve"> und dem </t>
        </r>
        <r>
          <rPr>
            <b/>
            <sz val="8"/>
            <color indexed="81"/>
            <rFont val="Tahoma"/>
            <family val="2"/>
          </rPr>
          <t>Ausstoßvergärungsgrad AVG</t>
        </r>
        <r>
          <rPr>
            <sz val="8"/>
            <color indexed="81"/>
            <rFont val="Tahoma"/>
            <family val="2"/>
          </rPr>
          <t xml:space="preserve">, als auch zwischen scheinbarem und wirklichem Vergärungsgrad.
</t>
        </r>
        <r>
          <rPr>
            <b/>
            <sz val="8"/>
            <color indexed="81"/>
            <rFont val="Tahoma"/>
            <family val="2"/>
          </rPr>
          <t>EVG:</t>
        </r>
        <r>
          <rPr>
            <sz val="8"/>
            <color indexed="81"/>
            <rFont val="Tahoma"/>
            <family val="2"/>
          </rPr>
          <t xml:space="preserve"> Der Endvergärungsgrad ist der höchste scheinbare Vergärungsgrad, der durch Vergärung aller vergärbaren Extraktstoffe erhalten wird. Die Höhes des zu erreichenden EVG beträgt beispielsweise für helle Vollbiere und Pilsner 80-84%.
</t>
        </r>
        <r>
          <rPr>
            <b/>
            <sz val="8"/>
            <color indexed="81"/>
            <rFont val="Tahoma"/>
            <family val="2"/>
          </rPr>
          <t>GVG:</t>
        </r>
        <r>
          <rPr>
            <sz val="8"/>
            <color indexed="81"/>
            <rFont val="Tahoma"/>
            <family val="2"/>
          </rPr>
          <t xml:space="preserve"> Wenn geschlaucht wird, muss das Jungbier noch genügend vergärbaren Extrakt enthalten, damit sich das Bier während der Nachgärung unter Druck mit CO2 anreichern kann. Wird auf Speisezugabe verzichtet, so ist erfahrungsgemäß noch etwa 1% Extrakt nötig. Das entspricht einer Differenz von etwa 10% zwischen den beiden Vergärungsgraden EVG und GVG. Der GVG beträgt bei hellen Vollbieren 66-68%, bei dunklen Voll- und Starkbieren &lt;60%.
</t>
        </r>
        <r>
          <rPr>
            <b/>
            <sz val="8"/>
            <color indexed="81"/>
            <rFont val="Tahoma"/>
            <family val="2"/>
          </rPr>
          <t>AVG:</t>
        </r>
        <r>
          <rPr>
            <sz val="8"/>
            <color indexed="81"/>
            <rFont val="Tahoma"/>
            <family val="2"/>
          </rPr>
          <t xml:space="preserve"> Mehr Informationen dazu im "Lagerbericht"
</t>
        </r>
        <r>
          <rPr>
            <b/>
            <sz val="8"/>
            <color indexed="81"/>
            <rFont val="Tahoma"/>
            <family val="2"/>
          </rPr>
          <t>Scheinbarer Vergärungsgrad:</t>
        </r>
        <r>
          <rPr>
            <sz val="8"/>
            <color indexed="81"/>
            <rFont val="Tahoma"/>
            <family val="2"/>
          </rPr>
          <t xml:space="preserve"> Der mittels Spindel/Saccharometer ermittelte Vergärungsgrad ist nur scheinbar richtig (VGs), weil die Extraktangabe der Spindel (</t>
        </r>
        <r>
          <rPr>
            <b/>
            <sz val="8"/>
            <color indexed="81"/>
            <rFont val="Tahoma"/>
            <family val="2"/>
          </rPr>
          <t>Es</t>
        </r>
        <r>
          <rPr>
            <sz val="8"/>
            <color indexed="81"/>
            <rFont val="Tahoma"/>
            <family val="2"/>
          </rPr>
          <t xml:space="preserve">) durch den entstandenen Alkohol verfälscht ist. Da die Abweichung aber mit höherer Vergärung proportional größer wird und sich der </t>
        </r>
        <r>
          <rPr>
            <b/>
            <sz val="8"/>
            <color indexed="81"/>
            <rFont val="Tahoma"/>
            <family val="2"/>
          </rPr>
          <t>Es</t>
        </r>
        <r>
          <rPr>
            <sz val="8"/>
            <color indexed="81"/>
            <rFont val="Tahoma"/>
            <family val="2"/>
          </rPr>
          <t xml:space="preserve"> leichter bestimmen lässt, rechnet man immer mit deb scheinbaren Vergärungsgraden EVs.
</t>
        </r>
        <r>
          <rPr>
            <b/>
            <sz val="8"/>
            <color indexed="81"/>
            <rFont val="Tahoma"/>
            <family val="2"/>
          </rPr>
          <t>Wirklicher Vergärungsgrad:</t>
        </r>
        <r>
          <rPr>
            <sz val="8"/>
            <color indexed="81"/>
            <rFont val="Tahoma"/>
            <family val="2"/>
          </rPr>
          <t xml:space="preserve"> Der wirkliche Vergärungsgrad lässt sich mit dem Faktor 0,81 berechnen, welcher Balling um 1870 ermittelt hat.</t>
        </r>
      </text>
    </comment>
    <comment ref="C35" authorId="0" shapeId="0" xr:uid="{00000000-0006-0000-0900-000009000000}">
      <text>
        <r>
          <rPr>
            <sz val="8"/>
            <color indexed="81"/>
            <rFont val="Tahoma"/>
            <family val="2"/>
          </rPr>
          <t>Der Endvergärungsgrad ist der höchste scheinbare Vergärungsgrad, der durch Vergärung aller vergärbaren Extraktstoffe erhalten wird.
Die Höhes des zu erreichenden EVG beträgt beispielsweise für helle Vollbiere und Pilsner 80-84%.</t>
        </r>
      </text>
    </comment>
    <comment ref="C38" authorId="0" shapeId="0" xr:uid="{00000000-0006-0000-0900-00000A000000}">
      <text>
        <r>
          <rPr>
            <sz val="8"/>
            <color indexed="81"/>
            <rFont val="Tahoma"/>
            <family val="2"/>
          </rPr>
          <t>Der Alkoholgehalt von Bier lässt sich normalerweise nur analytisch exakt bestimmen, allerdings kann man aus den Angaben "Stammwürze" und "Restextrakt" den Alkoholgehalt näherungweise ermitteln, so wie hier geschehen.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s>
  <commentList>
    <comment ref="C6" authorId="0" shapeId="0" xr:uid="{00000000-0006-0000-0A00-000001000000}">
      <text>
        <r>
          <rPr>
            <b/>
            <sz val="8"/>
            <color indexed="81"/>
            <rFont val="Tahoma"/>
            <family val="2"/>
          </rPr>
          <t xml:space="preserve">Aufgaben des Lagerkellers:
</t>
        </r>
        <r>
          <rPr>
            <sz val="8"/>
            <color indexed="81"/>
            <rFont val="Tahoma"/>
            <family val="2"/>
          </rPr>
          <t>- Nachgärung 
- Vergärung des Restextraktes (AVG) 
- Klärung des Bieres (Hefe, Eiweiße, Hopfenbitterstoffe, …) 
- CO2 – Bildung und –Bindung (Sättigung) 
- Reifung, Abrundung, Geschmacksveredelung (CO2-Wäsche)</t>
        </r>
        <r>
          <rPr>
            <i/>
            <sz val="8"/>
            <color indexed="81"/>
            <rFont val="Arial"/>
            <family val="2"/>
          </rPr>
          <t xml:space="preserve"> </t>
        </r>
      </text>
    </comment>
    <comment ref="AL6" authorId="0" shapeId="0" xr:uid="{00000000-0006-0000-0A00-000002000000}">
      <text>
        <r>
          <rPr>
            <sz val="8"/>
            <color indexed="81"/>
            <rFont val="Tahoma"/>
            <family val="2"/>
          </rPr>
          <t>Stammwürzegehalt vor dem  Schlauchen des Jungbieres.</t>
        </r>
      </text>
    </comment>
    <comment ref="E7" authorId="0" shapeId="0" xr:uid="{00000000-0006-0000-0A00-000003000000}">
      <text>
        <r>
          <rPr>
            <sz val="8"/>
            <color indexed="81"/>
            <rFont val="Tahoma"/>
            <family val="2"/>
          </rPr>
          <t>Stammwürzegehalt beim Anstellen der Würze.</t>
        </r>
      </text>
    </comment>
    <comment ref="AL7" authorId="0" shapeId="0" xr:uid="{00000000-0006-0000-0A00-000004000000}">
      <text>
        <r>
          <rPr>
            <sz val="8"/>
            <color indexed="81"/>
            <rFont val="Tahoma"/>
            <family val="2"/>
          </rPr>
          <t>Restextrakt im fertigen Bier</t>
        </r>
      </text>
    </comment>
    <comment ref="C11" authorId="1" shapeId="0" xr:uid="{00000000-0006-0000-0A00-000005000000}">
      <text>
        <r>
          <rPr>
            <sz val="8"/>
            <color indexed="81"/>
            <rFont val="Tahoma"/>
            <family val="2"/>
          </rPr>
          <t>Der AVGs wird vor dem Abfüllen des Bieres bestimmt. Die Differenz zwischen AVgs und EVGs ist durch noch vergärbaren Extrakt bedingt. Wenn die Differenz größer ist, finden Mikroorganismen im abgefüllten Bier noch vergärbare Stoffe, so dass diese sich vermehren und eine Trübung hervorrufen können. Der AVGs soll möglichst nahe am EVGs liegen.</t>
        </r>
      </text>
    </comment>
    <comment ref="S11" authorId="1" shapeId="0" xr:uid="{00000000-0006-0000-0A00-000006000000}">
      <text>
        <r>
          <rPr>
            <sz val="8"/>
            <color indexed="81"/>
            <rFont val="Tahoma"/>
            <family val="2"/>
          </rPr>
          <t>Der CO2-Gehalt ist abhängig von der Temperatur und dem Druck. Die Löslichkeit von CO2 ist umso größer, je tiefer die Temperatur liegt. 
Typische CO2-Gehalte sind für Vollbiere: 4,0-5,5 g/l und Weizenbiere: 6,5-9,0 g/l</t>
        </r>
      </text>
    </comment>
  </commentList>
</comments>
</file>

<file path=xl/sharedStrings.xml><?xml version="1.0" encoding="utf-8"?>
<sst xmlns="http://schemas.openxmlformats.org/spreadsheetml/2006/main" count="2929" uniqueCount="1343">
  <si>
    <t>Sud-Nr.</t>
  </si>
  <si>
    <t>Liter</t>
  </si>
  <si>
    <t>I. Maischen</t>
  </si>
  <si>
    <t>Uhr</t>
  </si>
  <si>
    <t>°C</t>
  </si>
  <si>
    <t>%</t>
  </si>
  <si>
    <t>Ges.</t>
  </si>
  <si>
    <t>Glattwasser</t>
  </si>
  <si>
    <t>mit</t>
  </si>
  <si>
    <t>Würzekochen</t>
  </si>
  <si>
    <t>bis</t>
  </si>
  <si>
    <t>bei</t>
  </si>
  <si>
    <t>Sorte</t>
  </si>
  <si>
    <t>g</t>
  </si>
  <si>
    <t>pH</t>
  </si>
  <si>
    <t>gültig ab:</t>
  </si>
  <si>
    <t>Ausschlagwürzemenge</t>
  </si>
  <si>
    <t>Dichte</t>
  </si>
  <si>
    <t>Sudhausausbeute</t>
  </si>
  <si>
    <t>Schüttung</t>
  </si>
  <si>
    <t>Hauptguss</t>
  </si>
  <si>
    <t>Info</t>
  </si>
  <si>
    <t>ersetzt:</t>
  </si>
  <si>
    <t>Datum</t>
  </si>
  <si>
    <t>von</t>
  </si>
  <si>
    <t>auf</t>
  </si>
  <si>
    <t>Rast:</t>
  </si>
  <si>
    <t>Aufheizen von</t>
  </si>
  <si>
    <t>Vorderwürze von</t>
  </si>
  <si>
    <t>IBU</t>
  </si>
  <si>
    <t>Empfehlung Nachgüsse Ges.</t>
  </si>
  <si>
    <t>Sud-Journal</t>
  </si>
  <si>
    <t>.</t>
  </si>
  <si>
    <t>Eiweißrast</t>
  </si>
  <si>
    <t>Maltoserast</t>
  </si>
  <si>
    <t>Verzuckerungsrast</t>
  </si>
  <si>
    <t>keine Rast</t>
  </si>
  <si>
    <t>Kochen</t>
  </si>
  <si>
    <t>°Brix</t>
  </si>
  <si>
    <t>°P</t>
  </si>
  <si>
    <t>Rast</t>
  </si>
  <si>
    <t>α-Säure</t>
  </si>
  <si>
    <t>Kochzeit</t>
  </si>
  <si>
    <t>x</t>
  </si>
  <si>
    <t>Menge</t>
  </si>
  <si>
    <t>Nachisomerisierungszeit/Whirlpool</t>
  </si>
  <si>
    <t>Bigness-Faktor</t>
  </si>
  <si>
    <t>Gesamt</t>
  </si>
  <si>
    <t>Aromahopfen</t>
  </si>
  <si>
    <t>Bitterhopfen</t>
  </si>
  <si>
    <t>EBC</t>
  </si>
  <si>
    <t>Anmerkungen:</t>
  </si>
  <si>
    <t>Gesamtmaischeberechnung</t>
  </si>
  <si>
    <t xml:space="preserve"> </t>
  </si>
  <si>
    <t>Altbier</t>
  </si>
  <si>
    <t>Stil</t>
  </si>
  <si>
    <t>Pils</t>
  </si>
  <si>
    <t>Export</t>
  </si>
  <si>
    <t>Landbier</t>
  </si>
  <si>
    <t>IPA</t>
  </si>
  <si>
    <t>Barley Wine</t>
  </si>
  <si>
    <t>&lt;Malzsorte wählen&gt;</t>
  </si>
  <si>
    <t>min</t>
  </si>
  <si>
    <t>ja</t>
  </si>
  <si>
    <t>nein</t>
  </si>
  <si>
    <t>Alkoholgehalt</t>
  </si>
  <si>
    <t>Weizen</t>
  </si>
  <si>
    <t>-</t>
  </si>
  <si>
    <t>Ferulaserast</t>
  </si>
  <si>
    <r>
      <t xml:space="preserve"> IBU-Berechnung nach der </t>
    </r>
    <r>
      <rPr>
        <b/>
        <i/>
        <sz val="9"/>
        <rFont val="Sylfaen"/>
        <family val="1"/>
      </rPr>
      <t>Glenn-Tinseth-Formel</t>
    </r>
  </si>
  <si>
    <t>Brautag</t>
  </si>
  <si>
    <t>1 Vorbereitung</t>
  </si>
  <si>
    <t>1a</t>
  </si>
  <si>
    <t xml:space="preserve"> Antwort erhalten am</t>
  </si>
  <si>
    <t>1b</t>
  </si>
  <si>
    <t>Braurohstoffe bestellt am</t>
  </si>
  <si>
    <t xml:space="preserve"> und eingetroffen am</t>
  </si>
  <si>
    <t>Braupaddel</t>
  </si>
  <si>
    <t>o</t>
  </si>
  <si>
    <t>Refraktometer</t>
  </si>
  <si>
    <t>Hefe</t>
  </si>
  <si>
    <t>L</t>
  </si>
  <si>
    <t>J</t>
  </si>
  <si>
    <t>±</t>
  </si>
  <si>
    <t>*</t>
  </si>
  <si>
    <t>(</t>
  </si>
  <si>
    <t xml:space="preserve">Sehr geehrte Damen und Herren, </t>
  </si>
  <si>
    <t>Mit freundlichen Grüßen</t>
  </si>
  <si>
    <t>Gärdiagramm</t>
  </si>
  <si>
    <t>Sudnr.</t>
  </si>
  <si>
    <t>Biersorte</t>
  </si>
  <si>
    <t>Angestellt am</t>
  </si>
  <si>
    <t>Geschlaucht am</t>
  </si>
  <si>
    <t>Hauptgärtemperatur</t>
  </si>
  <si>
    <t>GVGs</t>
  </si>
  <si>
    <t>GVGt</t>
  </si>
  <si>
    <t>EVGs</t>
  </si>
  <si>
    <t>EVGt</t>
  </si>
  <si>
    <t>Gärkellerausbeute</t>
  </si>
  <si>
    <t>Temp.</t>
  </si>
  <si>
    <t>Lagerbericht</t>
  </si>
  <si>
    <t>Stammwürze</t>
  </si>
  <si>
    <t>Umgedrückt am</t>
  </si>
  <si>
    <t>AVGs</t>
  </si>
  <si>
    <t>AVGt</t>
  </si>
  <si>
    <r>
      <t>CO</t>
    </r>
    <r>
      <rPr>
        <vertAlign val="subscript"/>
        <sz val="9"/>
        <rFont val="Sylfaen"/>
        <family val="1"/>
      </rPr>
      <t>2</t>
    </r>
    <r>
      <rPr>
        <sz val="9"/>
        <rFont val="Sylfaen"/>
        <family val="1"/>
      </rPr>
      <t>-Druck</t>
    </r>
  </si>
  <si>
    <t>Biertemp.</t>
  </si>
  <si>
    <t>Fass1</t>
  </si>
  <si>
    <t>Fass2</t>
  </si>
  <si>
    <t>Fass3</t>
  </si>
  <si>
    <t>Tag 1</t>
  </si>
  <si>
    <t>Tag 3</t>
  </si>
  <si>
    <t>Tag 5</t>
  </si>
  <si>
    <t>Tag 7</t>
  </si>
  <si>
    <t>Tag 9</t>
  </si>
  <si>
    <t>Tag 11</t>
  </si>
  <si>
    <t>Tag 13</t>
  </si>
  <si>
    <t>Tag 15</t>
  </si>
  <si>
    <t>Tag 17</t>
  </si>
  <si>
    <t>Tag 19</t>
  </si>
  <si>
    <t>Tag 21</t>
  </si>
  <si>
    <t>Tag 23</t>
  </si>
  <si>
    <t>Tag 25</t>
  </si>
  <si>
    <t>Tag 27</t>
  </si>
  <si>
    <t>Tag 29</t>
  </si>
  <si>
    <t>Tag 31</t>
  </si>
  <si>
    <t>Tag 33</t>
  </si>
  <si>
    <t>Tag 35</t>
  </si>
  <si>
    <t>Tag 37</t>
  </si>
  <si>
    <t>Tag 39</t>
  </si>
  <si>
    <t>Tag 41</t>
  </si>
  <si>
    <t>Tag 43</t>
  </si>
  <si>
    <t>Tag 45</t>
  </si>
  <si>
    <t>Tag 47</t>
  </si>
  <si>
    <t>Tag 49</t>
  </si>
  <si>
    <t>Ale</t>
  </si>
  <si>
    <t>Bockbier dunkel</t>
  </si>
  <si>
    <t>Bockbier hell</t>
  </si>
  <si>
    <t>Doppelbock dunkel</t>
  </si>
  <si>
    <t>Doppelbock hell</t>
  </si>
  <si>
    <t>Dinkelbier</t>
  </si>
  <si>
    <t>Kellerbier</t>
  </si>
  <si>
    <t>Dunkelbier</t>
  </si>
  <si>
    <t>Schwarzbier</t>
  </si>
  <si>
    <t>Porter</t>
  </si>
  <si>
    <t>Rauchbier</t>
  </si>
  <si>
    <t>Stout</t>
  </si>
  <si>
    <t>Weizenbier hell</t>
  </si>
  <si>
    <t>Weizenbier dunkel</t>
  </si>
  <si>
    <t>Weizenbock dunkel</t>
  </si>
  <si>
    <t>Weizenbock hell</t>
  </si>
  <si>
    <t>Tag 2</t>
  </si>
  <si>
    <t>Tag 4</t>
  </si>
  <si>
    <t>Tag 6</t>
  </si>
  <si>
    <t>Tag 8</t>
  </si>
  <si>
    <t>Tag 10</t>
  </si>
  <si>
    <t>Tag 12</t>
  </si>
  <si>
    <t>Vorbereitung</t>
  </si>
  <si>
    <t>Von</t>
  </si>
  <si>
    <t>Um</t>
  </si>
  <si>
    <t>Uhr  -</t>
  </si>
  <si>
    <t>Brewferm Top</t>
  </si>
  <si>
    <t>Farbe</t>
  </si>
  <si>
    <t>Vol.-%</t>
  </si>
  <si>
    <t>Bittere</t>
  </si>
  <si>
    <t># Hopfengaben deaktivierbar</t>
  </si>
  <si>
    <t># mehrere Textfelder mit vorhergehendem Reiter verknüpft</t>
  </si>
  <si>
    <t># weitere Bierstile hinzugefügt</t>
  </si>
  <si>
    <t># Berechnung Alkoholgehalt in 'Gärdiagramm' verschoben</t>
  </si>
  <si>
    <t>sud-journal</t>
  </si>
  <si>
    <t># Whirlpool-Zeit dokumentierbar</t>
  </si>
  <si>
    <t># Stil definierbar</t>
  </si>
  <si>
    <t># Gaskocheraufheizleistung deaktivierbrar</t>
  </si>
  <si>
    <t># 6 verschiedene Malzsorten bei Schüttung definierbar</t>
  </si>
  <si>
    <t># Berechnung des EBC-Wertes bei Schüttung</t>
  </si>
  <si>
    <t># prozentuale Angaben der Schüttung</t>
  </si>
  <si>
    <t># Anmerkungsfeld für Schüttung neu</t>
  </si>
  <si>
    <t># EBC-Farbwertskala neu</t>
  </si>
  <si>
    <t># Kochmaische neu</t>
  </si>
  <si>
    <t># Rasten frei wählbar</t>
  </si>
  <si>
    <t># Rasten deaktivierbar</t>
  </si>
  <si>
    <t># Umrechnung "°Brix in °P " neu</t>
  </si>
  <si>
    <t># Nachgüsse zusammengefasst</t>
  </si>
  <si>
    <t># IBU-Berechnung  in neuer Info-Box</t>
  </si>
  <si>
    <t># Angabe nach IBU entsprechender Bierstil</t>
  </si>
  <si>
    <t># 4 statt 3 Hopfengaben möglich</t>
  </si>
  <si>
    <t># Berechnung Alkoholgehalt neu</t>
  </si>
  <si>
    <t># Vereinigung der drei Dokumente "sud-journal", "gaerdiagramm", "lagerbericht"</t>
  </si>
  <si>
    <t># "vorbereitung" neu</t>
  </si>
  <si>
    <t># "brief_hza" neu</t>
  </si>
  <si>
    <t>gaerdiagramm</t>
  </si>
  <si>
    <t># Eingabefelder neu angeordnet</t>
  </si>
  <si>
    <t># 'Hefegattung' Vorgaben gefixt</t>
  </si>
  <si>
    <t># Info-Box 'Alkoholgehalt' neu</t>
  </si>
  <si>
    <t>lagerbericht</t>
  </si>
  <si>
    <t xml:space="preserve"># Feld 'Speiseentnahme' entfernt. </t>
  </si>
  <si>
    <t># "bewertungsbogen" neu</t>
  </si>
  <si>
    <t># Punkt 'Abmaischen' und 'Läuterruhe" enger zusammengerückt</t>
  </si>
  <si>
    <t># 'Ausschlagen' um Feld "°BRIX" ergänzt</t>
  </si>
  <si>
    <t>bewertungsbogen</t>
  </si>
  <si>
    <t># Info-Boxen ergänzt</t>
  </si>
  <si>
    <t># Feld 'Speiseentnahme' entfernt.</t>
  </si>
  <si>
    <t># Berechnung für Gärkellerausbeute mit Angaben aus 'Sud-Journal' verknüpft</t>
  </si>
  <si>
    <t>EVG</t>
  </si>
  <si>
    <t>Danstar Nottingham Ale</t>
  </si>
  <si>
    <t>Danstar Windsor Ale</t>
  </si>
  <si>
    <t>Brewferm Lager</t>
  </si>
  <si>
    <t>Danstar Diamond Lager</t>
  </si>
  <si>
    <t>Brewferm Blanche</t>
  </si>
  <si>
    <t>Danstar Munich Wheat</t>
  </si>
  <si>
    <t># EVG-Werte der einzelnen Hefesorten hinzugefügt</t>
  </si>
  <si>
    <t># Hefesorten definierbar</t>
  </si>
  <si>
    <t xml:space="preserve">  untergärig</t>
  </si>
  <si>
    <t xml:space="preserve">  Weißbierhefen</t>
  </si>
  <si>
    <t>bitte wählen</t>
  </si>
  <si>
    <t># EBC-Farbskala durch Biergläser veranschaulicht</t>
  </si>
  <si>
    <t>°Plato</t>
  </si>
  <si>
    <t># Bug bei EBC-Farbskala &gt;100 behoben</t>
  </si>
  <si>
    <t># Bug bei EBC-Farbskala &lt;4 behoben</t>
  </si>
  <si>
    <t># Bug bei Berechnung Ausbeutefaktor über °BRIX behoben</t>
  </si>
  <si>
    <t># Restextrakt wird nach EVG-Angaben automatisch berechnet</t>
  </si>
  <si>
    <t>(Scheinbarer) Restextrakt</t>
  </si>
  <si>
    <t># Bug bei EBC-Farbskala bei exakten Werten behoben</t>
  </si>
  <si>
    <t>Typ</t>
  </si>
  <si>
    <t>III. Hefegabe</t>
  </si>
  <si>
    <t>II. Würzekochen</t>
  </si>
  <si>
    <t>Rezeptkarte</t>
  </si>
  <si>
    <t># "rezeptkarte" neu</t>
  </si>
  <si>
    <t>Bierstil</t>
  </si>
  <si>
    <t>Bitte wählen!</t>
  </si>
  <si>
    <t>um</t>
  </si>
  <si>
    <t># "Gewünschte Biermenge als Ausgangsgröße für die Schüttung" zu "rezeptkarte" verschoben</t>
  </si>
  <si>
    <t># Malzschüttung zu "rezeptkarte" verschoben</t>
  </si>
  <si>
    <t># IBU-Berechnung zu "rezeptkarte" verschoben</t>
  </si>
  <si>
    <t># diverse Verknüpfungen zu "rezeptkarte"</t>
  </si>
  <si>
    <t>vorbereitung</t>
  </si>
  <si>
    <t># "geplante Menge" ergänzt</t>
  </si>
  <si>
    <t># Verknüpfung der zu meldenden Menge zu "vorbereitung"</t>
  </si>
  <si>
    <t>Alkohol</t>
  </si>
  <si>
    <t>Brauereihefe</t>
  </si>
  <si>
    <t># EBC Vorschaubild eingefügt</t>
  </si>
  <si>
    <t># EBC-Farbskala entfernt</t>
  </si>
  <si>
    <t>ð</t>
  </si>
  <si>
    <t>rezeptkarte</t>
  </si>
  <si>
    <t># Option "Vorderwürzehopfung" eingefügt</t>
  </si>
  <si>
    <t>Nachgüsse von</t>
  </si>
  <si>
    <t>ï</t>
  </si>
  <si>
    <t># Berechnung "Gas-Kocher" entfernt</t>
  </si>
  <si>
    <t># "Aufheizen von…" entfernt</t>
  </si>
  <si>
    <t># automatische Zeitberechnung auch bei "Vorderwürzehopfung" möglich</t>
  </si>
  <si>
    <t>Whirlpool</t>
  </si>
  <si>
    <t># automatische Berechnung °Brix zu °P auch bei "Biersieden" möglich</t>
  </si>
  <si>
    <t xml:space="preserve">Anzeige für die Herstellung von Bier im Privathaushalt </t>
  </si>
  <si>
    <t>Am</t>
  </si>
  <si>
    <t>wird der erste Sud für das laufende Kalenderjahr gebraut.</t>
  </si>
  <si>
    <t>herstellen. Sollte ich diese Menge überschreiten, teile ich Ihnen dies unverzüglich mit.</t>
  </si>
  <si>
    <t>brief_hza</t>
  </si>
  <si>
    <t># Text der neuen Gesetzgebung angepasst</t>
  </si>
  <si>
    <t>sud-journal (handout)</t>
  </si>
  <si>
    <t># automatische Übernahme des Datums</t>
  </si>
  <si>
    <t># 4. Hopfengabe hinter Whirlpoolschritt verlegt</t>
  </si>
  <si>
    <t>allgemein</t>
  </si>
  <si>
    <t># Dropdownmenüs wurden hellblau hinterlegt</t>
  </si>
  <si>
    <t>braumeister@bierbrauerei.net</t>
  </si>
  <si>
    <t>intro</t>
  </si>
  <si>
    <t># neu</t>
  </si>
  <si>
    <t># neu (zum ausdrucken während des Brauprozesses)</t>
  </si>
  <si>
    <t># 4. Hopfengabe gändert: "Zugabe im Whirlpool bei &lt; 80°C"</t>
  </si>
  <si>
    <t>#Einsatz Hopfenkugel, Redeuzierung der Bittere um 10%</t>
  </si>
  <si>
    <t>Berechnung</t>
  </si>
  <si>
    <t>Konditionierung:</t>
  </si>
  <si>
    <t>Schüttungsmenge</t>
  </si>
  <si>
    <t>Malzkonditionierung</t>
  </si>
  <si>
    <t>Hauptgussberechnung</t>
  </si>
  <si>
    <t>#ergänzt: Konditionierung</t>
  </si>
  <si>
    <t># Berechnungen neu angeordnet</t>
  </si>
  <si>
    <t># auszufüllende Felder weiß hinterlegt</t>
  </si>
  <si>
    <t>II. Maischen</t>
  </si>
  <si>
    <t>III. Abmaischen</t>
  </si>
  <si>
    <t>IV. Läuterruhe</t>
  </si>
  <si>
    <t>V. Läutern</t>
  </si>
  <si>
    <t>VI. Biersieden</t>
  </si>
  <si>
    <t>VII. Speiseentnahme</t>
  </si>
  <si>
    <t>VIII. Ausschlagen</t>
  </si>
  <si>
    <t>#ergänzt: Malzschüttung einzelne Malze</t>
  </si>
  <si>
    <t>#entfernt: Hopfentyp bei den einzelnen Hopfengaben</t>
  </si>
  <si>
    <t>#neu: Kochzeitangabe der einzelnen Hopfengaben</t>
  </si>
  <si>
    <t>I. Schroten</t>
  </si>
  <si>
    <t>#Sudhausausbeute korrigiert auf Menge in der Supfanne</t>
  </si>
  <si>
    <t>Kalthopfung</t>
  </si>
  <si>
    <t>IV. Kalthopfung</t>
  </si>
  <si>
    <t>#ergänzt um: Kalthopfung</t>
  </si>
  <si>
    <t># bug bei whirlpoolberechnung beseitigt</t>
  </si>
  <si>
    <t>#ergänzt um: Lagertemperatur</t>
  </si>
  <si>
    <t># bug bei gärkellerausbeute beseitigt</t>
  </si>
  <si>
    <t>Belgisch Dubbel</t>
  </si>
  <si>
    <t>Belgisch Triple</t>
  </si>
  <si>
    <t>Belgisch Blonde</t>
  </si>
  <si>
    <t>]</t>
  </si>
  <si>
    <t>#ergänzt um: weitere Rohstoffe, Biertypen</t>
  </si>
  <si>
    <t>#geändert: Hopfengabe in g/l-Vorgabe</t>
  </si>
  <si>
    <t>,</t>
  </si>
  <si>
    <r>
      <t xml:space="preserve"> CO</t>
    </r>
    <r>
      <rPr>
        <vertAlign val="subscript"/>
        <sz val="9"/>
        <rFont val="Sylfaen"/>
        <family val="1"/>
      </rPr>
      <t>2</t>
    </r>
    <r>
      <rPr>
        <sz val="9"/>
        <rFont val="Sylfaen"/>
        <family val="1"/>
      </rPr>
      <t>-Gehalt im Bier</t>
    </r>
  </si>
  <si>
    <t>WLP029 German Ale/Kölsch</t>
  </si>
  <si>
    <t xml:space="preserve">WLP060 American Ale Blend </t>
  </si>
  <si>
    <t xml:space="preserve">WLP099 Super High Gravity Ale </t>
  </si>
  <si>
    <t xml:space="preserve">WLP500 Monastery Ale </t>
  </si>
  <si>
    <t>WLP530 Abbey Ale</t>
  </si>
  <si>
    <t>WLP550 Belgian Ale</t>
  </si>
  <si>
    <t xml:space="preserve">WLP568 Saison Ale Blend </t>
  </si>
  <si>
    <t>WLP630 Berliner Weisse Blend</t>
  </si>
  <si>
    <t>Wyeast 1007 German Ale</t>
  </si>
  <si>
    <t>Wyeast 1028 London Ale</t>
  </si>
  <si>
    <t>Wyeast 1056 American Ale</t>
  </si>
  <si>
    <t>Wyeast 1084 Irish Ale</t>
  </si>
  <si>
    <t xml:space="preserve">Wyeast 1099 Whitbread Ale </t>
  </si>
  <si>
    <t>Wyeast 1318 London Ale III</t>
  </si>
  <si>
    <t>Wyeast 1728 Scottish Ale</t>
  </si>
  <si>
    <t xml:space="preserve">Wyeast 1762 Belgian Abbey II </t>
  </si>
  <si>
    <t>Wyeast 1968 London ESB Ale</t>
  </si>
  <si>
    <t>Wyeast 2565 Kölsch</t>
  </si>
  <si>
    <t>Wyeast 3463 PC Forbidden Fruit</t>
  </si>
  <si>
    <t>Wyeast 3711 French Saison</t>
  </si>
  <si>
    <t>Wyeast 3724 Belgian Saison</t>
  </si>
  <si>
    <t xml:space="preserve">Wyeast 3726 Farmhouse Ale </t>
  </si>
  <si>
    <t>Wyeast 3787 Trappist High Gravity</t>
  </si>
  <si>
    <t>Wyeast 3789 PC Trappist Blend Q3</t>
  </si>
  <si>
    <t>Wyeast 3864 PC Canadian/Belgian Ale</t>
  </si>
  <si>
    <t>Wyeast 3944 Belgian Witbier</t>
  </si>
  <si>
    <t xml:space="preserve">WLP800 Pilsner Lager </t>
  </si>
  <si>
    <t>WLP802 Czech Budejovice Lager</t>
  </si>
  <si>
    <t xml:space="preserve">WLP810 San Francisco Lager </t>
  </si>
  <si>
    <t>WLP820 Oktoberfest Lager</t>
  </si>
  <si>
    <t xml:space="preserve">WLP830 German Lager </t>
  </si>
  <si>
    <t xml:space="preserve">WLP838 Southern German Lager </t>
  </si>
  <si>
    <t>WLP920 Old Bavarian Lager</t>
  </si>
  <si>
    <t>Wyeast 2112 California Lager</t>
  </si>
  <si>
    <t>Wyeast 2124 Bohemian Lager</t>
  </si>
  <si>
    <t xml:space="preserve">Wyeast 2206 Bavarian Lager </t>
  </si>
  <si>
    <t xml:space="preserve">Wyeast 2278 Czech Pils </t>
  </si>
  <si>
    <t>Wyeast 2308 Munich Lager</t>
  </si>
  <si>
    <t>WLP300 Hefeweizen Ale</t>
  </si>
  <si>
    <t>WLP630 Berliner Weisse</t>
  </si>
  <si>
    <t>Wyeast 1010 American Wheat</t>
  </si>
  <si>
    <t>Wyeast 3068 Weihenstephan Wheat</t>
  </si>
  <si>
    <t>Wyeast 3638 Bavarian Wheat</t>
  </si>
  <si>
    <t xml:space="preserve">Brauwasser, </t>
  </si>
  <si>
    <t xml:space="preserve">), </t>
  </si>
  <si>
    <t>Hopfen (</t>
  </si>
  <si>
    <t>#neu: Zutatenliste wird automatisch generiert</t>
  </si>
  <si>
    <t>Name</t>
  </si>
  <si>
    <t>Straße</t>
  </si>
  <si>
    <t>PLZ</t>
  </si>
  <si>
    <t>Ort</t>
  </si>
  <si>
    <t>Düsseldorf</t>
  </si>
  <si>
    <t>#ergänzt um: Anschrift des Brauers</t>
  </si>
  <si>
    <t>#neu: Anschrift wird automatisch generiert</t>
  </si>
  <si>
    <t>e-Mail</t>
  </si>
  <si>
    <t>Telefon</t>
  </si>
  <si>
    <t>Anzeige beim HZA für das laufende Jahr am</t>
  </si>
  <si>
    <t>Hauptzollamt auswählen:</t>
  </si>
  <si>
    <t>Anschrift:</t>
  </si>
  <si>
    <t>Bundesland wählen</t>
  </si>
  <si>
    <t>[</t>
  </si>
  <si>
    <t>Stand: 14.08.2018</t>
  </si>
  <si>
    <t>Dienststellenbezeichnung</t>
  </si>
  <si>
    <t>Bundesland</t>
  </si>
  <si>
    <t>Kreis</t>
  </si>
  <si>
    <t>Postfachnummer</t>
  </si>
  <si>
    <t>Ort-P</t>
  </si>
  <si>
    <t>PLZ-P</t>
  </si>
  <si>
    <t>Land</t>
  </si>
  <si>
    <t>E-Mail-Adresse</t>
  </si>
  <si>
    <t>Telefonnummer</t>
  </si>
  <si>
    <t>Telefaxnummer</t>
  </si>
  <si>
    <t>Hauptzollamt Heilbronn</t>
  </si>
  <si>
    <t>Baden-Württemberg</t>
  </si>
  <si>
    <t>Heilbronn, Stadtkreis</t>
  </si>
  <si>
    <t>Heilbronn</t>
  </si>
  <si>
    <t>Deutschland</t>
  </si>
  <si>
    <t>poststelle.hza-heilbronn@zoll.de-mail.de</t>
  </si>
  <si>
    <t>07131 8970-0</t>
  </si>
  <si>
    <t>07131 8970-1999</t>
  </si>
  <si>
    <t>Baden_Württemberg</t>
  </si>
  <si>
    <t>Hauptzollamt Karlsruhe</t>
  </si>
  <si>
    <t>Karlsruhe, Stadtkreis</t>
  </si>
  <si>
    <t>Karlsruhe</t>
  </si>
  <si>
    <t>poststelle.hza-karlsruhe@zoll.de-mail.de</t>
  </si>
  <si>
    <t>0721 3710-0</t>
  </si>
  <si>
    <t>0721 3710-238</t>
  </si>
  <si>
    <t>Bayern</t>
  </si>
  <si>
    <t>Hauptzollamt Lörrach</t>
  </si>
  <si>
    <t>Lörrach</t>
  </si>
  <si>
    <t>poststelle.hza-loerrach@zoll.de-mail.de</t>
  </si>
  <si>
    <t>07621 170-0</t>
  </si>
  <si>
    <t>07621 170-1090</t>
  </si>
  <si>
    <t>Berlin</t>
  </si>
  <si>
    <t>Hauptzollamt Singen</t>
  </si>
  <si>
    <t>Konstanz</t>
  </si>
  <si>
    <t>Singen (Hohentwiel)</t>
  </si>
  <si>
    <t>poststelle.hza-singen@zoll.bund.de</t>
  </si>
  <si>
    <t>07731 8205-0</t>
  </si>
  <si>
    <t>07731 8205-1901</t>
  </si>
  <si>
    <t>Brandenburg</t>
  </si>
  <si>
    <t>Hauptzollamt Stuttgart</t>
  </si>
  <si>
    <t>Stuttgart, Stadtkreis</t>
  </si>
  <si>
    <t>Stuttgart</t>
  </si>
  <si>
    <t>poststelle.hza-stuttgart@zoll.de-mail.de</t>
  </si>
  <si>
    <t>0711 922-0</t>
  </si>
  <si>
    <t>0711 922-2209</t>
  </si>
  <si>
    <t>Bremen</t>
  </si>
  <si>
    <t>Hauptzollamt Ulm</t>
  </si>
  <si>
    <t>Ulm, Stadtkreis</t>
  </si>
  <si>
    <t>Ulm</t>
  </si>
  <si>
    <t>poststelle.hza-ulm@zoll.bund.de</t>
  </si>
  <si>
    <t>0731 9648-0</t>
  </si>
  <si>
    <t>0731 9648-299</t>
  </si>
  <si>
    <t>Hamburg</t>
  </si>
  <si>
    <t>Hauptzollamt Augsburg</t>
  </si>
  <si>
    <t>Augsburg</t>
  </si>
  <si>
    <t>poststelle.hza-augsburg@zoll.bund.de</t>
  </si>
  <si>
    <t>0821 5012-0</t>
  </si>
  <si>
    <t>0821 5012-188</t>
  </si>
  <si>
    <t>Hessen</t>
  </si>
  <si>
    <t>Hauptzollamt Landshut</t>
  </si>
  <si>
    <t>Landshut</t>
  </si>
  <si>
    <t>poststelle.hza-landshut@zoll.bund.de</t>
  </si>
  <si>
    <t>0871 806-0</t>
  </si>
  <si>
    <t>0871 806-500</t>
  </si>
  <si>
    <t>Mecklenburg_Vorpommern</t>
  </si>
  <si>
    <t>Hauptzollamt München</t>
  </si>
  <si>
    <t>München, Landeshauptstadt</t>
  </si>
  <si>
    <t>München</t>
  </si>
  <si>
    <t>poststelle.hza-muenchen@zoll.de-mail.de</t>
  </si>
  <si>
    <t>089 5995-00</t>
  </si>
  <si>
    <t>089 5995-2488</t>
  </si>
  <si>
    <t>Niedersachsen</t>
  </si>
  <si>
    <t>Hauptzollamt Nürnberg</t>
  </si>
  <si>
    <t>Nürnberg</t>
  </si>
  <si>
    <t>poststelle.hza-nuernberg@zoll.bund.de</t>
  </si>
  <si>
    <t>0911 9463-0</t>
  </si>
  <si>
    <t>0911 9463-1199</t>
  </si>
  <si>
    <t>Nordrhein_Westfalen</t>
  </si>
  <si>
    <t>Hauptzollamt Regensburg</t>
  </si>
  <si>
    <t>Regensburg</t>
  </si>
  <si>
    <t>poststelle.hza-regensburg@zoll.de-mail.de</t>
  </si>
  <si>
    <t>0941 2086-0</t>
  </si>
  <si>
    <t>0941 2086-1399</t>
  </si>
  <si>
    <t>Rheinland_Pfalz</t>
  </si>
  <si>
    <t>Hauptzollamt Rosenheim</t>
  </si>
  <si>
    <t>Rosenheim</t>
  </si>
  <si>
    <t>poststelle.hza-rosenheim@zoll.de-mail.de</t>
  </si>
  <si>
    <t>08031 3006-0</t>
  </si>
  <si>
    <t>08031 3006-9911</t>
  </si>
  <si>
    <t>Saarland</t>
  </si>
  <si>
    <t>Hauptzollamt Schweinfurt</t>
  </si>
  <si>
    <t>Schweinfurt</t>
  </si>
  <si>
    <t>poststelle.hza-schweinfurt@zoll.bund.de</t>
  </si>
  <si>
    <t>09721 6464-0</t>
  </si>
  <si>
    <t>09721 6464-1800</t>
  </si>
  <si>
    <t>Sachsen</t>
  </si>
  <si>
    <t>Hauptzollamt Berlin</t>
  </si>
  <si>
    <t>Berlin, Stadt</t>
  </si>
  <si>
    <t>poststelle.hza-berlin@zoll.bund.de</t>
  </si>
  <si>
    <t>030 69009-0</t>
  </si>
  <si>
    <t>030 69009-209</t>
  </si>
  <si>
    <t>Sachsen_Anhalt</t>
  </si>
  <si>
    <t>Hauptzollamt Frankfurt (Oder)</t>
  </si>
  <si>
    <t>Frankfurt (Oder), Stadt</t>
  </si>
  <si>
    <t>Frankfurt (Oder)</t>
  </si>
  <si>
    <t>poststelle.hza-ff@zoll.bund.de</t>
  </si>
  <si>
    <t>0335 563-0</t>
  </si>
  <si>
    <t>0335 563-1099</t>
  </si>
  <si>
    <t>Schleswig_Holstein</t>
  </si>
  <si>
    <t>Hauptzollamt Potsdam</t>
  </si>
  <si>
    <t>Potsdam, Stadt</t>
  </si>
  <si>
    <t>Potsdam</t>
  </si>
  <si>
    <t>poststelle.hza-potsdam@zoll.de-mail.de</t>
  </si>
  <si>
    <t>0331 2308-0</t>
  </si>
  <si>
    <t>0331 2308-109</t>
  </si>
  <si>
    <t>Thüringen</t>
  </si>
  <si>
    <t>Hauptzollamt Bremen</t>
  </si>
  <si>
    <t>Bremen, Stadt</t>
  </si>
  <si>
    <t>poststelle.hza-bremen@zoll.de-mail.de</t>
  </si>
  <si>
    <t>0421 3897-0</t>
  </si>
  <si>
    <t>0421 3897-1199</t>
  </si>
  <si>
    <t>Hauptzollamt Hamburg-Hafen</t>
  </si>
  <si>
    <t>Hamburg, Freie und Hansestadt</t>
  </si>
  <si>
    <t>poststelle.hza-hamburg-hafen@zoll.de-mail.de</t>
  </si>
  <si>
    <t>040 78085-0</t>
  </si>
  <si>
    <t>040 78085-222</t>
  </si>
  <si>
    <t>Hauptzollamt Hamburg-Jonas</t>
  </si>
  <si>
    <t>poststelle.hza-hamburg-jonas@zoll.bund.de</t>
  </si>
  <si>
    <t>040 2395-5</t>
  </si>
  <si>
    <t>040 2395-7001</t>
  </si>
  <si>
    <t>Hauptzollamt Hamburg-Stadt</t>
  </si>
  <si>
    <t>poststelle.hza-hamburg-stadt@zoll.bund.de</t>
  </si>
  <si>
    <t>040 426206-0</t>
  </si>
  <si>
    <t>040 426206-760</t>
  </si>
  <si>
    <t>Hauptzollamt Darmstadt</t>
  </si>
  <si>
    <t>Darmstadt, Wissenschaftsstadt</t>
  </si>
  <si>
    <t>Darmstadt</t>
  </si>
  <si>
    <t>poststelle.hza-darmstadt@zoll.de-mail.de</t>
  </si>
  <si>
    <t>06151 9180-0</t>
  </si>
  <si>
    <t>06151 9180-1900</t>
  </si>
  <si>
    <t>Hauptzollamt Frankfurt am Main</t>
  </si>
  <si>
    <t>Frankfurt am Main, Stadt</t>
  </si>
  <si>
    <t>Frankfurt am Main</t>
  </si>
  <si>
    <t>poststelle.hza-ffm@zoll.de-mail.de</t>
  </si>
  <si>
    <t>069 257829-0</t>
  </si>
  <si>
    <t>069 257829-4000</t>
  </si>
  <si>
    <t>Hauptzollamt Gießen</t>
  </si>
  <si>
    <t>Gießen</t>
  </si>
  <si>
    <t>poststelle.hza-giessen@zoll.de-mail.de</t>
  </si>
  <si>
    <t>0641 9484-0</t>
  </si>
  <si>
    <t>0641 9484-100</t>
  </si>
  <si>
    <t>Hauptzollamt Stralsund</t>
  </si>
  <si>
    <t>Mecklenburg-Vorpommern</t>
  </si>
  <si>
    <t>Vorpommern-Rügen</t>
  </si>
  <si>
    <t>Stralsund</t>
  </si>
  <si>
    <t>poststelle.hza-stralsund@zoll.bund.de</t>
  </si>
  <si>
    <t>03831 356-0</t>
  </si>
  <si>
    <t>03831 356-1121</t>
  </si>
  <si>
    <t>Hauptzollamt Braunschweig</t>
  </si>
  <si>
    <t>Braunschweig, Stadt</t>
  </si>
  <si>
    <t>Braunschweig</t>
  </si>
  <si>
    <t>poststelle.hza-braunschweig@zoll.de-mail.de</t>
  </si>
  <si>
    <t>0531 3809-0</t>
  </si>
  <si>
    <t>0531 3809-200</t>
  </si>
  <si>
    <t>Hauptzollamt Hannover</t>
  </si>
  <si>
    <t>Region Hannover</t>
  </si>
  <si>
    <t>Hannover</t>
  </si>
  <si>
    <t>poststelle.hza-hannover@zoll.bund.de</t>
  </si>
  <si>
    <t>0511 37414-0</t>
  </si>
  <si>
    <t>0511 37414-199</t>
  </si>
  <si>
    <t>Hauptzollamt Oldenburg</t>
  </si>
  <si>
    <t>Oldenburg (Oldenburg), Stadt</t>
  </si>
  <si>
    <t>Oldenburg</t>
  </si>
  <si>
    <t>poststelle.hza-oldenburg@zoll.bund.de</t>
  </si>
  <si>
    <t>0441 21025-0</t>
  </si>
  <si>
    <t>0441 21025-26</t>
  </si>
  <si>
    <t>Hauptzollamt Osnabrück</t>
  </si>
  <si>
    <t>Osnabrück, Stadt</t>
  </si>
  <si>
    <t>Osnabrück</t>
  </si>
  <si>
    <t>poststelle.hza-osnabrueck@zoll.de-mail.de</t>
  </si>
  <si>
    <t>0541 5066-0</t>
  </si>
  <si>
    <t>0541 5066-111</t>
  </si>
  <si>
    <t>Hauptzollamt Aachen</t>
  </si>
  <si>
    <t>Nordrhein-Westfalen</t>
  </si>
  <si>
    <t>Städteregion Aachen</t>
  </si>
  <si>
    <t>Aachen</t>
  </si>
  <si>
    <t>poststelle.hza-aachen@zoll.de-mail.de</t>
  </si>
  <si>
    <t>0241 94325-0</t>
  </si>
  <si>
    <t>0241 94325-1421</t>
  </si>
  <si>
    <t>Hauptzollamt Bielefeld</t>
  </si>
  <si>
    <t>Bielefeld, Stadt</t>
  </si>
  <si>
    <t>Bielefeld</t>
  </si>
  <si>
    <t>poststelle.hza-bielefeld@zoll.bund.de</t>
  </si>
  <si>
    <t>0521 3047-0</t>
  </si>
  <si>
    <t>0521 3047-9010</t>
  </si>
  <si>
    <t>Hauptzollamt Dortmund</t>
  </si>
  <si>
    <t>Dortmund, Stadt</t>
  </si>
  <si>
    <t>Dortmund</t>
  </si>
  <si>
    <t>poststelle.hza-dortmund@zoll.bund.de</t>
  </si>
  <si>
    <t>0231 9571-0</t>
  </si>
  <si>
    <t>0231 9571-1999</t>
  </si>
  <si>
    <t>Hauptzollamt Duisburg</t>
  </si>
  <si>
    <t>Duisburg, Stadt</t>
  </si>
  <si>
    <t>Duisburg</t>
  </si>
  <si>
    <t>poststelle.hza-duisburg@zoll.de-mail.de</t>
  </si>
  <si>
    <t>0203 7134-0</t>
  </si>
  <si>
    <t>0203 7134-111</t>
  </si>
  <si>
    <t>Hauptzollamt Düsseldorf</t>
  </si>
  <si>
    <t>Düsseldorf, Stadt</t>
  </si>
  <si>
    <t>poststelle.hza-duesseldorf@zoll.de-mail.de</t>
  </si>
  <si>
    <t>0211 2101-0</t>
  </si>
  <si>
    <t>0211 2101-222</t>
  </si>
  <si>
    <t>Hauptzollamt Köln</t>
  </si>
  <si>
    <t>Köln, Stadt</t>
  </si>
  <si>
    <t>Köln</t>
  </si>
  <si>
    <t>poststelle.hza-koeln@zoll.bund.de</t>
  </si>
  <si>
    <t>0221 27252-0</t>
  </si>
  <si>
    <t>0221 27252-1211</t>
  </si>
  <si>
    <t>Hauptzollamt Krefeld</t>
  </si>
  <si>
    <t>Krefeld, Stadt</t>
  </si>
  <si>
    <t>Willich</t>
  </si>
  <si>
    <t>poststelle.hza-krefeld@zoll.de-mail.de</t>
  </si>
  <si>
    <t>02151 850-0</t>
  </si>
  <si>
    <t>02151 850-111</t>
  </si>
  <si>
    <t>Hauptzollamt Münster</t>
  </si>
  <si>
    <t>Münster, Stadt</t>
  </si>
  <si>
    <t>Münster</t>
  </si>
  <si>
    <t>poststelle.hza-muenster@zoll.de-mail.de</t>
  </si>
  <si>
    <t>0251 4814-0</t>
  </si>
  <si>
    <t>0251 4814-1000</t>
  </si>
  <si>
    <t>Hauptzollamt Koblenz</t>
  </si>
  <si>
    <t>Rheinland-Pfalz</t>
  </si>
  <si>
    <t>Koblenz, kreisfreie Stadt</t>
  </si>
  <si>
    <t>Koblenz</t>
  </si>
  <si>
    <t>poststelle.hza-koblenz@zoll.bund.de</t>
  </si>
  <si>
    <t>0261 97367-0</t>
  </si>
  <si>
    <t>0261 97367-257</t>
  </si>
  <si>
    <t>Hauptzollamt Saarbrücken</t>
  </si>
  <si>
    <t>Regionalverband Saarbrücken</t>
  </si>
  <si>
    <t>Saarbrücken</t>
  </si>
  <si>
    <t>poststelle.hza-saarbruecken@zoll.de-mail.de</t>
  </si>
  <si>
    <t>0681 501-00</t>
  </si>
  <si>
    <t>0681 501-6241</t>
  </si>
  <si>
    <t>Hauptzollamt Dresden</t>
  </si>
  <si>
    <t>Dresden, Stadt</t>
  </si>
  <si>
    <t>Dresden</t>
  </si>
  <si>
    <t>poststelle.hza-dresden@zoll.de-mail.de</t>
  </si>
  <si>
    <t>0351 8161-0</t>
  </si>
  <si>
    <t>0351 8161-1130</t>
  </si>
  <si>
    <t>Hauptzollamt Magdeburg</t>
  </si>
  <si>
    <t>Sachsen-Anhalt</t>
  </si>
  <si>
    <t>Magdeburg, Landeshauptstadt</t>
  </si>
  <si>
    <t>Magdeburg</t>
  </si>
  <si>
    <t>poststelle.hza-magdeburg@zoll.bund.de</t>
  </si>
  <si>
    <t>0391 5074-0</t>
  </si>
  <si>
    <t>0391 5074-237</t>
  </si>
  <si>
    <t>Hauptzollamt Itzehoe</t>
  </si>
  <si>
    <t>Schleswig-Holstein</t>
  </si>
  <si>
    <t>Steinburg</t>
  </si>
  <si>
    <t>Itzehoe</t>
  </si>
  <si>
    <t>poststelle.hza-itzehoe@zoll.de-mail.de</t>
  </si>
  <si>
    <t>04821 902-0</t>
  </si>
  <si>
    <t>04821 902-200</t>
  </si>
  <si>
    <t>Hauptzollamt Kiel</t>
  </si>
  <si>
    <t>Kiel, Landeshauptstadt</t>
  </si>
  <si>
    <t>Kiel</t>
  </si>
  <si>
    <t>poststelle.hza-kiel@zoll.bund.de</t>
  </si>
  <si>
    <t>0431 20083-0</t>
  </si>
  <si>
    <t>0431 20083-1150</t>
  </si>
  <si>
    <t>Hauptzollamt Erfurt</t>
  </si>
  <si>
    <t>Erfurt, Stadt</t>
  </si>
  <si>
    <t>Erfurt</t>
  </si>
  <si>
    <t>poststelle.hza-erfurt@zoll.bund.de</t>
  </si>
  <si>
    <t>0361 60176-0</t>
  </si>
  <si>
    <t>0361 60176-910</t>
  </si>
  <si>
    <t>http://www.zoll.de/DE/Service/Dienststellensuche/Startseite/dienststellensuche_node.html</t>
  </si>
  <si>
    <t xml:space="preserve"> =&gt; Allgemeine Dienststellensuche</t>
  </si>
  <si>
    <r>
      <t xml:space="preserve"> =&gt; Dienststellenart: </t>
    </r>
    <r>
      <rPr>
        <sz val="8"/>
        <color theme="1"/>
        <rFont val="Arial Narrow"/>
        <family val="2"/>
      </rPr>
      <t>ý Hauptzollamt</t>
    </r>
  </si>
  <si>
    <t xml:space="preserve"> =&gt; exportieren als CSV-Datei</t>
  </si>
  <si>
    <t xml:space="preserve">zum eigenen Verbrauch beabsichtige ich im laufenden Kalenderjahr in meiner oben </t>
  </si>
  <si>
    <t>genannten Wohnung Bier herzustellen.</t>
  </si>
  <si>
    <t>Ich werde voraussichtlich nicht mehr als 2 Hektoliter Bier in unregelmäßigen Abstand</t>
  </si>
  <si>
    <t>WLP001 California Ale</t>
  </si>
  <si>
    <t xml:space="preserve">WLP002 English Ale </t>
  </si>
  <si>
    <t xml:space="preserve">WLP004 Irish Ale </t>
  </si>
  <si>
    <t>WLP005 British Ale</t>
  </si>
  <si>
    <t xml:space="preserve">WLP007 Dry English Ale </t>
  </si>
  <si>
    <t>Hauptzollamt wählen</t>
  </si>
  <si>
    <t>Temp.-opt.</t>
  </si>
  <si>
    <t>Alk-Toleranz</t>
  </si>
  <si>
    <t>Fermentis SafAle K-97</t>
  </si>
  <si>
    <t>Fermentis SafAle US-05</t>
  </si>
  <si>
    <t>Fermentis SafAle S-04</t>
  </si>
  <si>
    <t>Danstar Abbaye Belgian Ale</t>
  </si>
  <si>
    <t>Danstar Belle Saison</t>
  </si>
  <si>
    <t>Danstar BRY-97 American West Coast</t>
  </si>
  <si>
    <t>Danstar London ESB</t>
  </si>
  <si>
    <t>GOZDAWA Bavarian Wheat11 (BW11)</t>
  </si>
  <si>
    <t>GOZDAWA Classic Belgian Witbier</t>
  </si>
  <si>
    <t>GOZDAWA Belgian Fruit &amp; Spicy Ale Yeast</t>
  </si>
  <si>
    <t>GOZDAWA French Cider G1</t>
  </si>
  <si>
    <t>GOZDAWA Fruit Blanche G1</t>
  </si>
  <si>
    <t>GOZDAWA German Lager W35</t>
  </si>
  <si>
    <t xml:space="preserve">GOZDAWA Old German Altbier 9 </t>
  </si>
  <si>
    <t>GOZDAWA Porter &amp; Kvass</t>
  </si>
  <si>
    <t>GOZDAWA Pure Ale Yeast 7</t>
  </si>
  <si>
    <t>GOZDAWA U.S. West Coast</t>
  </si>
  <si>
    <t>Mangrove Jack's M15 - Empire Ale</t>
  </si>
  <si>
    <t>Mangrove Jack's M21 - Belgian Wit</t>
  </si>
  <si>
    <t>Mangrove Jack's M29 - French Saison</t>
  </si>
  <si>
    <t>Mangrove Jack's M31 - Belgian Triple</t>
  </si>
  <si>
    <t>Mangrove Jack's M36 - Liberty Bell Ale</t>
  </si>
  <si>
    <t>Mangrove Jack's M27 - Belgian Ale</t>
  </si>
  <si>
    <t>Mangrove Jack's M42 - New World Strong Ale</t>
  </si>
  <si>
    <t>Mangrove Jack's M44 - U.S. West Coast</t>
  </si>
  <si>
    <t xml:space="preserve">Mangrove Jack's M47 - Belgian Abbey </t>
  </si>
  <si>
    <t>Fermentis SafAle BE-134</t>
  </si>
  <si>
    <t>Fermentis SafAle BE-256 (Abbaye)</t>
  </si>
  <si>
    <t>Fermentis SafAle S-33</t>
  </si>
  <si>
    <t>Fermentis SafAle WB-06</t>
  </si>
  <si>
    <t>Fermentis SafLager S-189</t>
  </si>
  <si>
    <t>Fermentis SafLager S-23</t>
  </si>
  <si>
    <t>Fermentis SafLager W-34/70</t>
  </si>
  <si>
    <t>GOZDAWA Czech Pilsner 18</t>
  </si>
  <si>
    <t>Mangrove Jack's M54 - California Lager</t>
  </si>
  <si>
    <t>Mangrove Jack's M76 - Bavarian Lager</t>
  </si>
  <si>
    <t>Mangrove Jack's M84 - Bohemian Lager</t>
  </si>
  <si>
    <t>WLP833 German Bock Lager</t>
  </si>
  <si>
    <t xml:space="preserve">   obergärig</t>
  </si>
  <si>
    <t>#geändert: Gärtemperatur den Hefesorten zugeordnet</t>
  </si>
  <si>
    <t>#neu: Alkoholtoleranz der Hefesorten zugefügt</t>
  </si>
  <si>
    <t>Stand: 08.08.2018</t>
  </si>
  <si>
    <t>#ergänzt um: Info-Box "Konditionierung"</t>
  </si>
  <si>
    <t>500 ml</t>
  </si>
  <si>
    <t>banderole</t>
  </si>
  <si>
    <t>#neu</t>
  </si>
  <si>
    <t>Säure</t>
  </si>
  <si>
    <t>Malzsüße</t>
  </si>
  <si>
    <t>Abgang</t>
  </si>
  <si>
    <t>&lt; Bild vom Bier&gt;</t>
  </si>
  <si>
    <t>Zutaten</t>
  </si>
  <si>
    <t>Hefearoma</t>
  </si>
  <si>
    <t>Hopfenbittere</t>
  </si>
  <si>
    <t>Hopfenaroma</t>
  </si>
  <si>
    <t>Malzaroma</t>
  </si>
  <si>
    <t>Vollmundigkeit</t>
  </si>
  <si>
    <t>Adstringenz</t>
  </si>
  <si>
    <t>Verkostungsbogen</t>
  </si>
  <si>
    <t>nicht wahrnehmbar</t>
  </si>
  <si>
    <t>leichtes Hefearoma</t>
  </si>
  <si>
    <t>deutliches Hefearoma</t>
  </si>
  <si>
    <t>Hefe dominiert Aroma</t>
  </si>
  <si>
    <t>leicht wahrnehmbar</t>
  </si>
  <si>
    <t>deutlich, aber ausgewogen</t>
  </si>
  <si>
    <t>wärmend, vordergründig</t>
  </si>
  <si>
    <t>sanfte Grundbittere</t>
  </si>
  <si>
    <t>deutlich bitter, ausgewogen</t>
  </si>
  <si>
    <t>Bittere dominant</t>
  </si>
  <si>
    <t>leichte Hopfenblume</t>
  </si>
  <si>
    <t>Aroma deutlich, ausgewogen</t>
  </si>
  <si>
    <t>Hopfen dominiert Aroma</t>
  </si>
  <si>
    <t>leichte Restsüße</t>
  </si>
  <si>
    <t>Süße deutlich, ausgewogen</t>
  </si>
  <si>
    <t>Süße dominant</t>
  </si>
  <si>
    <t>leicht malzig</t>
  </si>
  <si>
    <t>Malz dominiert Aroma</t>
  </si>
  <si>
    <t>deutlich sauer, ausgewogen</t>
  </si>
  <si>
    <t>Säure dominant</t>
  </si>
  <si>
    <t>sehr schlank</t>
  </si>
  <si>
    <t>wenig Körper</t>
  </si>
  <si>
    <t>deutlicher Körper</t>
  </si>
  <si>
    <t>schwerer Körper</t>
  </si>
  <si>
    <t>an den Zungenrändern</t>
  </si>
  <si>
    <t>adstringierend</t>
  </si>
  <si>
    <t>ganze Zunge betroffen</t>
  </si>
  <si>
    <t>kein Abgang</t>
  </si>
  <si>
    <t>Aroma klingt kurz nach</t>
  </si>
  <si>
    <t>klingt deutlich nach</t>
  </si>
  <si>
    <t>Aroma bleibt lange erhalten</t>
  </si>
  <si>
    <t>Verkostungsrad</t>
  </si>
  <si>
    <t>leicht sauer</t>
  </si>
  <si>
    <t>Referenzbier</t>
  </si>
  <si>
    <t>Aromarad</t>
  </si>
  <si>
    <t>Banane</t>
  </si>
  <si>
    <t>Nelke</t>
  </si>
  <si>
    <t>Karamell</t>
  </si>
  <si>
    <t>Kaffee</t>
  </si>
  <si>
    <t>Schokolade</t>
  </si>
  <si>
    <t>Zitrusfrüchte</t>
  </si>
  <si>
    <t>Beerenfrüchte</t>
  </si>
  <si>
    <t>Honig</t>
  </si>
  <si>
    <t>Dörrobst</t>
  </si>
  <si>
    <t>Beispiel zum Anbringen der Banderole</t>
  </si>
  <si>
    <t>Hopfen-bittere</t>
  </si>
  <si>
    <t>Malz-aroma</t>
  </si>
  <si>
    <t>Vollmun-digkeit</t>
  </si>
  <si>
    <t>Adstrin-genz</t>
  </si>
  <si>
    <t>Hefe-aroma</t>
  </si>
  <si>
    <t>Hopfen-aroma</t>
  </si>
  <si>
    <t>Zitrus-früchte</t>
  </si>
  <si>
    <t>Beeren-früchte</t>
  </si>
  <si>
    <t>Dörr-obst</t>
  </si>
  <si>
    <t>Kara-mell</t>
  </si>
  <si>
    <t>Schoko-lade</t>
  </si>
  <si>
    <t>Verkostungstag:</t>
  </si>
  <si>
    <t>nach "Bier brauen" von Jan Brücklmeier</t>
  </si>
  <si>
    <t>verkostungsbogen</t>
  </si>
  <si>
    <t># geändert: Bewertung über Verkostungsrad und Aromarad</t>
  </si>
  <si>
    <t>Fazit</t>
  </si>
  <si>
    <t>Tropi-sche Früchte</t>
  </si>
  <si>
    <t>Tropische Früchte</t>
  </si>
  <si>
    <t>&lt;Hopfensorte wählen&gt;</t>
  </si>
  <si>
    <t>#neu: Hopfensorten aus Drop-Down-Menü</t>
  </si>
  <si>
    <t>#neu: Hopfentyp wird automatisch vervollständigt</t>
  </si>
  <si>
    <t>Untappd
QR Code</t>
  </si>
  <si>
    <t>UNTAPPD</t>
  </si>
  <si>
    <t>Untappd-QR-Code generieren:</t>
  </si>
  <si>
    <t>1. Das Bier auf der Untappd Seite suchen und die letzten Zahlen in der URL markieren.</t>
  </si>
  <si>
    <r>
      <t>2. Die markierten Zahlen in folgende URL einkopieren:  https://untappd.com/qr/beer/</t>
    </r>
    <r>
      <rPr>
        <b/>
        <sz val="10"/>
        <color rgb="FFFF0000"/>
        <rFont val="Sylfaen"/>
        <family val="1"/>
      </rPr>
      <t>2904619</t>
    </r>
  </si>
  <si>
    <t xml:space="preserve">3. Auf einer QR-Code-Generator Internetseite einen QR-Code generieren. Z.B. https://www.qrstuff.com/ </t>
  </si>
  <si>
    <t>Darauf achten, dass keine "shortened URL" generiert wird.</t>
  </si>
  <si>
    <t>Der QR-Code sollte mindestens die Maße 2,5x2,5 cm haben.</t>
  </si>
  <si>
    <t xml:space="preserve">Zutaten: </t>
  </si>
  <si>
    <t>eingebraut:</t>
  </si>
  <si>
    <t>Beispiel zum Anbringen der Zapfschildes</t>
  </si>
  <si>
    <t># bewertungsbogen umbenannt in verkostungsbogen</t>
  </si>
  <si>
    <t>untappd</t>
  </si>
  <si>
    <t>zapfschild</t>
  </si>
  <si>
    <t>Böhmisch Lager</t>
  </si>
  <si>
    <t>#bug: Gesperrte Felder freigegeben</t>
  </si>
  <si>
    <t>#neu: Rasten bei 64°C und 78°C eingefügt</t>
  </si>
  <si>
    <t>#neu: Hauptzollamt über Dropdown-Menü auswählbar</t>
  </si>
  <si>
    <t>2 Rohstoffeinsatz</t>
  </si>
  <si>
    <t>Gesamtkosten der Rohstoffe</t>
  </si>
  <si>
    <t>3a Checkliste - benötigtes Equipment</t>
  </si>
  <si>
    <t>3b Checkliste - optionales Equipment</t>
  </si>
  <si>
    <t>benötigt:</t>
  </si>
  <si>
    <t>Wir können starten?</t>
  </si>
  <si>
    <t>einsatzbereit:</t>
  </si>
  <si>
    <t>€/100g</t>
  </si>
  <si>
    <t>€/kg</t>
  </si>
  <si>
    <t>€/Sud</t>
  </si>
  <si>
    <t>&lt;Hefe wählen&gt;</t>
  </si>
  <si>
    <t>#geändert: Checkliste über Checkbox</t>
  </si>
  <si>
    <t>#neu: Rohstoffkostenkalkulation</t>
  </si>
  <si>
    <t>Säurerast</t>
  </si>
  <si>
    <t>% der Gesamtmaische</t>
  </si>
  <si>
    <t xml:space="preserve">  1. Kochmaische ziehen</t>
  </si>
  <si>
    <t xml:space="preserve">  2. Kochmaische ziehen</t>
  </si>
  <si>
    <t>min.</t>
  </si>
  <si>
    <t>#geändert: Maischprozess</t>
  </si>
  <si>
    <t>g/l</t>
  </si>
  <si>
    <t>in der Pfanne</t>
  </si>
  <si>
    <t>Uhr bis</t>
  </si>
  <si>
    <t>Ausschlagen &amp; Anstellen am</t>
  </si>
  <si>
    <t>Gesamtmaische</t>
  </si>
  <si>
    <t>Gesamtmaische nach zurückführen der 1. Kochmaische</t>
  </si>
  <si>
    <t>Gesamtmaische nach zurückführen der 2. Kochmaische</t>
  </si>
  <si>
    <t>kJ/(kg*K)</t>
  </si>
  <si>
    <t>spez. Wärmekapazität Wasser</t>
  </si>
  <si>
    <t>Abkühlung pro Rast</t>
  </si>
  <si>
    <t>K</t>
  </si>
  <si>
    <t>l</t>
  </si>
  <si>
    <t>spez. Wärmekapazität Malzschüttung</t>
  </si>
  <si>
    <r>
      <t>#neu: Berechnung für Bottichmaischverfahren (</t>
    </r>
    <r>
      <rPr>
        <b/>
        <sz val="10"/>
        <color rgb="FFFF0000"/>
        <rFont val="Sylfaen"/>
        <family val="1"/>
      </rPr>
      <t>noch im ungeprüften Beta-Status!</t>
    </r>
    <r>
      <rPr>
        <sz val="10"/>
        <rFont val="Sylfaen"/>
        <family val="1"/>
      </rPr>
      <t>)</t>
    </r>
  </si>
  <si>
    <t>l Hauptguss</t>
  </si>
  <si>
    <t>Euer Hopfezopfer Dirk</t>
  </si>
  <si>
    <t>ñ</t>
  </si>
  <si>
    <t>#neu: Navigationskreuz auf allen Reitern</t>
  </si>
  <si>
    <t>abgefüllt:</t>
  </si>
  <si>
    <t>l &amp; Restextrakt</t>
  </si>
  <si>
    <t>l &amp; Stammwürze</t>
  </si>
  <si>
    <t>Tag 14</t>
  </si>
  <si>
    <t>Bierstile</t>
  </si>
  <si>
    <t>obergärige</t>
  </si>
  <si>
    <t>untergärige</t>
  </si>
  <si>
    <t>Brauerei Gutmann</t>
  </si>
  <si>
    <t>Brauerei Maisel's</t>
  </si>
  <si>
    <t>Brauerei Bolten</t>
  </si>
  <si>
    <t>Brauerei Pilsner Urquell</t>
  </si>
  <si>
    <t>Weißbier</t>
  </si>
  <si>
    <t>?</t>
  </si>
  <si>
    <t>Tag 51</t>
  </si>
  <si>
    <t>Tag 53</t>
  </si>
  <si>
    <t>daten</t>
  </si>
  <si>
    <t>#neu: Ausgliederung aus rezeptkarte</t>
  </si>
  <si>
    <t>#ergänzt um: Erweiterung von 47 auf 53 Lagertage</t>
  </si>
  <si>
    <t>#geändert: Zutatenliste optimiert</t>
  </si>
  <si>
    <t>#geändert: Anordnung der Eingaben neu geordnet</t>
  </si>
  <si>
    <t>&lt;text1&gt;</t>
  </si>
  <si>
    <t>&lt;text2&gt;</t>
  </si>
  <si>
    <t>Gattung</t>
  </si>
  <si>
    <t>Brief an das Hauptzollamt</t>
  </si>
  <si>
    <t>Untappd</t>
  </si>
  <si>
    <t>Banderole</t>
  </si>
  <si>
    <t>Sudjournal</t>
  </si>
  <si>
    <t>Sudjournal - Handout -</t>
  </si>
  <si>
    <t>Historie</t>
  </si>
  <si>
    <t>Daten</t>
  </si>
  <si>
    <t>start</t>
  </si>
  <si>
    <t>#geändert: neu gegliedert und als Startseite gestaltet</t>
  </si>
  <si>
    <t>hinterlegte Felder sind frei bearbeitbar</t>
  </si>
  <si>
    <t>hinterlegte Felder sind mittels Dropdownmenü anzuwählen</t>
  </si>
  <si>
    <t>Bauchetikett</t>
  </si>
  <si>
    <t>Hellgelb</t>
  </si>
  <si>
    <t>hinterlegte Felder sind mit Formeln oder Verweisen verknüpft und sollten daher nicht überschrieben werden</t>
  </si>
  <si>
    <t>Die Infoboxen erklären Teilschritte oder geben wichtige Informationen zum Produktionsprozess</t>
  </si>
  <si>
    <t xml:space="preserve"> α</t>
  </si>
  <si>
    <t>Änderungen zu Version</t>
  </si>
  <si>
    <t>Brau-Journal</t>
  </si>
  <si>
    <t>Ltr.</t>
  </si>
  <si>
    <t>kg</t>
  </si>
  <si>
    <t>ml</t>
  </si>
  <si>
    <r>
      <t>CO</t>
    </r>
    <r>
      <rPr>
        <vertAlign val="subscript"/>
        <sz val="10"/>
        <rFont val="Sylfaen"/>
        <family val="1"/>
      </rPr>
      <t>2</t>
    </r>
  </si>
  <si>
    <t>#geändert: Alkoholgehalt wird berechnet und importiert aus gärdiagramm</t>
  </si>
  <si>
    <t>#neu: CO2-Angabe des Bieres</t>
  </si>
  <si>
    <t>#entfernt: Angaben zu CO2-Gehalt und Dichteangabe der Würze</t>
  </si>
  <si>
    <t>Ltr. und Restextrakt</t>
  </si>
  <si>
    <t>bar</t>
  </si>
  <si>
    <t>#ergänzt um: Erweiterung von 12 auf 16 Gärtage</t>
  </si>
  <si>
    <t>ca. 5,0</t>
  </si>
  <si>
    <t>8,5-9,0</t>
  </si>
  <si>
    <t>15-18</t>
  </si>
  <si>
    <t>ca. 22</t>
  </si>
  <si>
    <t>15-20</t>
  </si>
  <si>
    <t>15-25</t>
  </si>
  <si>
    <t>18-25</t>
  </si>
  <si>
    <t>17-25</t>
  </si>
  <si>
    <t>17-21</t>
  </si>
  <si>
    <t>18-22</t>
  </si>
  <si>
    <t>14-21</t>
  </si>
  <si>
    <t>18-28</t>
  </si>
  <si>
    <t>15-22</t>
  </si>
  <si>
    <t>20-26</t>
  </si>
  <si>
    <t>20-24</t>
  </si>
  <si>
    <t>22-28</t>
  </si>
  <si>
    <t>22-24</t>
  </si>
  <si>
    <t>22-26</t>
  </si>
  <si>
    <t>16-32</t>
  </si>
  <si>
    <t>18-23</t>
  </si>
  <si>
    <t>20-23</t>
  </si>
  <si>
    <t>18-20</t>
  </si>
  <si>
    <t>20-22</t>
  </si>
  <si>
    <t>18-21</t>
  </si>
  <si>
    <t>13-20</t>
  </si>
  <si>
    <t>16-22</t>
  </si>
  <si>
    <t>17-22</t>
  </si>
  <si>
    <t>18-24</t>
  </si>
  <si>
    <t>13-24</t>
  </si>
  <si>
    <t>13-21</t>
  </si>
  <si>
    <t>17-24</t>
  </si>
  <si>
    <t>18-26</t>
  </si>
  <si>
    <t>21-35</t>
  </si>
  <si>
    <t>21-29</t>
  </si>
  <si>
    <t>20-30</t>
  </si>
  <si>
    <t>18-27</t>
  </si>
  <si>
    <t>10-15</t>
  </si>
  <si>
    <t>12-15</t>
  </si>
  <si>
    <t>10-14</t>
  </si>
  <si>
    <t>12-14</t>
  </si>
  <si>
    <t>12-17</t>
  </si>
  <si>
    <t>8-14</t>
  </si>
  <si>
    <t>10-12</t>
  </si>
  <si>
    <t>14-18</t>
  </si>
  <si>
    <t>11-14</t>
  </si>
  <si>
    <t>9-12</t>
  </si>
  <si>
    <t>10-13</t>
  </si>
  <si>
    <t>14-20</t>
  </si>
  <si>
    <t>9-14</t>
  </si>
  <si>
    <t>9-13</t>
  </si>
  <si>
    <t>19-21</t>
  </si>
  <si>
    <t>18-30</t>
  </si>
  <si>
    <t>14-23</t>
  </si>
  <si>
    <t>Vorderwürze</t>
  </si>
  <si>
    <t>#entfernt: Angabe zu Malzschüttung</t>
  </si>
  <si>
    <t>#geändert: Bug bei Sudhausausbeute bereinigt</t>
  </si>
  <si>
    <t xml:space="preserve">Viel Spaß damit. Solltet ihr Fragen, Anregungen, Verbesserungsvorschläge haben, oder Ideen, die unbedingt in eine </t>
  </si>
  <si>
    <t>neue Version mitaufgenommen werden sollen, so schreibt mir einfach:</t>
  </si>
  <si>
    <t>© by bierbrauerei.net 2011-2019  |</t>
  </si>
  <si>
    <t>Alle folgenden Seiten sind geschützt, damit man nicht aus Versehen Programmierungen oder Formeln löscht. Es ist aber kein Passwort mehr hinterlegt. Bei Anpassungen lassen sich die einzelnen Seiten wieder entsperren.</t>
  </si>
  <si>
    <t>#geändert: Kommata bei Malz- und Hopfensorten entfernt</t>
  </si>
  <si>
    <t>Münchner Malz</t>
  </si>
  <si>
    <t>Münchner Malz Typ I</t>
  </si>
  <si>
    <t>Münchner Malz Typ II</t>
  </si>
  <si>
    <t>Pale Ale Malz</t>
  </si>
  <si>
    <t>Pilsner Malz</t>
  </si>
  <si>
    <t>Pilsner Tennenmalz Bohemian</t>
  </si>
  <si>
    <t>Pilsner Malz Bohemian</t>
  </si>
  <si>
    <t>Wiener Malz</t>
  </si>
  <si>
    <t>Roggenmalz</t>
  </si>
  <si>
    <t>Weizenmalz hell</t>
  </si>
  <si>
    <t>Weizenmalz dunkel</t>
  </si>
  <si>
    <t>CaraAmber</t>
  </si>
  <si>
    <t>CaraAroma</t>
  </si>
  <si>
    <t>CaraBelge</t>
  </si>
  <si>
    <t>Carafa Spezial® II</t>
  </si>
  <si>
    <t>Caramalz dunkel</t>
  </si>
  <si>
    <t>Caramalz hell</t>
  </si>
  <si>
    <t>Caramünch® I</t>
  </si>
  <si>
    <t>Caramünch® II</t>
  </si>
  <si>
    <t>Caramünch® III</t>
  </si>
  <si>
    <t>CaraPils</t>
  </si>
  <si>
    <t>CaraRed</t>
  </si>
  <si>
    <t>Weizen-Caramelmalz CaraWheat</t>
  </si>
  <si>
    <t>Melanoidinmalz</t>
  </si>
  <si>
    <t>Rauchmalz</t>
  </si>
  <si>
    <t>Sauermalz</t>
  </si>
  <si>
    <t>Black Malt</t>
  </si>
  <si>
    <t>Chocolate Malt</t>
  </si>
  <si>
    <t>Golden Promise Pale Ale Malt</t>
  </si>
  <si>
    <t>Halcyon Pale Ale Malt</t>
  </si>
  <si>
    <t>Medium Peated Malt (getorft)</t>
  </si>
  <si>
    <t>Oat Malt (Hafermalz)</t>
  </si>
  <si>
    <t>Optic Pale Ale Malt</t>
  </si>
  <si>
    <t>Pale Chocolate Malt</t>
  </si>
  <si>
    <t>Amaranth</t>
  </si>
  <si>
    <t>Black Barley</t>
  </si>
  <si>
    <t>Gerste</t>
  </si>
  <si>
    <t>Gerstenflocken</t>
  </si>
  <si>
    <t>Haferflocken</t>
  </si>
  <si>
    <t>Kandissirup D-45</t>
  </si>
  <si>
    <t>Kandissirup D-90</t>
  </si>
  <si>
    <t>Kandissirup D-180</t>
  </si>
  <si>
    <t>Mais</t>
  </si>
  <si>
    <t>Maisflocken</t>
  </si>
  <si>
    <t>Maronen</t>
  </si>
  <si>
    <t>Röstgerste</t>
  </si>
  <si>
    <t>Röstroggen</t>
  </si>
  <si>
    <t>Weizenflocken</t>
  </si>
  <si>
    <t>Weizenstärke</t>
  </si>
  <si>
    <t>Admiral</t>
  </si>
  <si>
    <t>Agnus</t>
  </si>
  <si>
    <t>Ahtanium</t>
  </si>
  <si>
    <t>Amarillo</t>
  </si>
  <si>
    <t>Amethyst</t>
  </si>
  <si>
    <t>Apollo</t>
  </si>
  <si>
    <t>Aramis</t>
  </si>
  <si>
    <t>Archer</t>
  </si>
  <si>
    <t>Ariana</t>
  </si>
  <si>
    <t>Barbe Rouge</t>
  </si>
  <si>
    <t>Beata</t>
  </si>
  <si>
    <t>Bobeck</t>
  </si>
  <si>
    <t>Bramling Cross</t>
  </si>
  <si>
    <t>Bravo</t>
  </si>
  <si>
    <t>Brewers Gold</t>
  </si>
  <si>
    <t>Bullion UK</t>
  </si>
  <si>
    <t>Caliente</t>
  </si>
  <si>
    <t>Callista</t>
  </si>
  <si>
    <t>Canadian RedVine</t>
  </si>
  <si>
    <t>Cascade</t>
  </si>
  <si>
    <t>Cascade frisch</t>
  </si>
  <si>
    <t>Cascade NZ</t>
  </si>
  <si>
    <t>Cascade Slowenien</t>
  </si>
  <si>
    <t>Cascade UK</t>
  </si>
  <si>
    <t>Celeia</t>
  </si>
  <si>
    <t>Centennial</t>
  </si>
  <si>
    <t>Challenger</t>
  </si>
  <si>
    <t>Chelan</t>
  </si>
  <si>
    <t>Chinook UK</t>
  </si>
  <si>
    <t>Citra</t>
  </si>
  <si>
    <t>Columbus/Tomahawk/Zeus</t>
  </si>
  <si>
    <t>Crystal</t>
  </si>
  <si>
    <t>Dana</t>
  </si>
  <si>
    <t>Delta</t>
  </si>
  <si>
    <t>East Kent Golding</t>
  </si>
  <si>
    <t>Endeavour</t>
  </si>
  <si>
    <t>Enigma</t>
  </si>
  <si>
    <t>Epic</t>
  </si>
  <si>
    <t>Eroica</t>
  </si>
  <si>
    <t>Fuggles</t>
  </si>
  <si>
    <t>Fusion</t>
  </si>
  <si>
    <t>Galaxy</t>
  </si>
  <si>
    <t>Galena</t>
  </si>
  <si>
    <t>Glacier</t>
  </si>
  <si>
    <t>Golding</t>
  </si>
  <si>
    <t>Golding frisch</t>
  </si>
  <si>
    <t>Golding USA</t>
  </si>
  <si>
    <t>Green Bullet</t>
  </si>
  <si>
    <t>Hallertau Blanc</t>
  </si>
  <si>
    <t>Hallertauer Bitter</t>
  </si>
  <si>
    <t>Hallertauer Bitter frisch</t>
  </si>
  <si>
    <t>Hallertauer Comet</t>
  </si>
  <si>
    <t>Hallertauer Magnum</t>
  </si>
  <si>
    <t>Hallertauer Merkur</t>
  </si>
  <si>
    <t>Hallertauer Mittelfrüher</t>
  </si>
  <si>
    <t>Hallertauer Taurus</t>
  </si>
  <si>
    <t>Hallertauer Tradition</t>
  </si>
  <si>
    <t>Herkules</t>
  </si>
  <si>
    <t>Hersbrucker Spät</t>
  </si>
  <si>
    <t>Huell Melon</t>
  </si>
  <si>
    <t>Hüller Bitter</t>
  </si>
  <si>
    <t>Junga</t>
  </si>
  <si>
    <t>Kazbek</t>
  </si>
  <si>
    <t>Keyworths Mid-Season</t>
  </si>
  <si>
    <t>Kirin II</t>
  </si>
  <si>
    <t>Kohatu</t>
  </si>
  <si>
    <t>Lemondrop</t>
  </si>
  <si>
    <t>Liberty</t>
  </si>
  <si>
    <t>Lubelski</t>
  </si>
  <si>
    <t>Magnum Slowenien</t>
  </si>
  <si>
    <t>Magnum US</t>
  </si>
  <si>
    <t>Malling</t>
  </si>
  <si>
    <t>Mandarina Bavaria</t>
  </si>
  <si>
    <t>Marynka</t>
  </si>
  <si>
    <t>Millenium</t>
  </si>
  <si>
    <t>Mistral</t>
  </si>
  <si>
    <t>Monroe</t>
  </si>
  <si>
    <t>Mosaic</t>
  </si>
  <si>
    <t>Motueka</t>
  </si>
  <si>
    <t>Mount Hood</t>
  </si>
  <si>
    <t>New Zealand Hallertauer Aroma</t>
  </si>
  <si>
    <t>Newport</t>
  </si>
  <si>
    <t>Northern Brewer</t>
  </si>
  <si>
    <t>Nugget</t>
  </si>
  <si>
    <t>Nugget USA</t>
  </si>
  <si>
    <t>Olympic</t>
  </si>
  <si>
    <t>Opal</t>
  </si>
  <si>
    <t>Pacific Gem</t>
  </si>
  <si>
    <t>Pacific Jade</t>
  </si>
  <si>
    <t>Pacifica</t>
  </si>
  <si>
    <t>Palisade</t>
  </si>
  <si>
    <t>Perle</t>
  </si>
  <si>
    <t>Polaris</t>
  </si>
  <si>
    <t>Pride of Ringwood</t>
  </si>
  <si>
    <t>Progress</t>
  </si>
  <si>
    <t>Record</t>
  </si>
  <si>
    <t>Relax</t>
  </si>
  <si>
    <t>Riwaka</t>
  </si>
  <si>
    <t>Saazer</t>
  </si>
  <si>
    <t>Santiam</t>
  </si>
  <si>
    <t>Saphir</t>
  </si>
  <si>
    <t>Saphir frisch</t>
  </si>
  <si>
    <t>Satus</t>
  </si>
  <si>
    <t>Savinjski Golding</t>
  </si>
  <si>
    <t>Simcoe</t>
  </si>
  <si>
    <t>Sladek</t>
  </si>
  <si>
    <t>Smaragd</t>
  </si>
  <si>
    <t>Southern Cross</t>
  </si>
  <si>
    <t>Sovereign</t>
  </si>
  <si>
    <t>Spalter</t>
  </si>
  <si>
    <t>Spalter Select</t>
  </si>
  <si>
    <t>Sterling</t>
  </si>
  <si>
    <t>Strisselspalt</t>
  </si>
  <si>
    <t>Styrian Goldings</t>
  </si>
  <si>
    <t>Styrian Goldings Slowenien</t>
  </si>
  <si>
    <t>Summer</t>
  </si>
  <si>
    <t>Summit</t>
  </si>
  <si>
    <t>Sun</t>
  </si>
  <si>
    <t>Super Alpha</t>
  </si>
  <si>
    <t>Super Galena</t>
  </si>
  <si>
    <t>Sybilla</t>
  </si>
  <si>
    <t>Sylva</t>
  </si>
  <si>
    <t>Target</t>
  </si>
  <si>
    <t>Tettnanger</t>
  </si>
  <si>
    <t>Tillicum</t>
  </si>
  <si>
    <t>Topaz</t>
  </si>
  <si>
    <t>Triple Pearl</t>
  </si>
  <si>
    <t>Triskel</t>
  </si>
  <si>
    <t>Ultra</t>
  </si>
  <si>
    <t>Vanguard</t>
  </si>
  <si>
    <t>Vic Secret</t>
  </si>
  <si>
    <t>Vital</t>
  </si>
  <si>
    <t>Wai-Iti</t>
  </si>
  <si>
    <t>Wakatu</t>
  </si>
  <si>
    <t>Warrior</t>
  </si>
  <si>
    <t>Whitbread Golding Variety</t>
  </si>
  <si>
    <t>Willamette</t>
  </si>
  <si>
    <t>Wolf</t>
  </si>
  <si>
    <t>Temperatur</t>
  </si>
  <si>
    <t>Abmaischtemperatur</t>
  </si>
  <si>
    <t>für</t>
  </si>
  <si>
    <t xml:space="preserve"> von</t>
  </si>
  <si>
    <t>#geändert: Eingabe der Rasten über Temperatur in °C</t>
  </si>
  <si>
    <t>Piktogramme zur Auswahl:</t>
  </si>
  <si>
    <t>kühl und dunkel lagern</t>
  </si>
  <si>
    <t>nicht aus der Flasche trinken</t>
  </si>
  <si>
    <t>#ergänzt um: weitere Piktogramme zur Auswahl</t>
  </si>
  <si>
    <t xml:space="preserve">Quelle: </t>
  </si>
  <si>
    <t>https://hobbybrauer.de/modules.php?name=eBoard&amp;file=viewthread&amp;tid=19052</t>
  </si>
  <si>
    <t>ausspülen &amp; auf dem Kopf lagern</t>
  </si>
  <si>
    <t>Flasche nicht schütteln</t>
  </si>
  <si>
    <t>Flasche nicht liegend lagern</t>
  </si>
  <si>
    <t>Leergut zurück zur Brauerei</t>
  </si>
  <si>
    <r>
      <t xml:space="preserve">g/l  </t>
    </r>
    <r>
      <rPr>
        <b/>
        <sz val="11"/>
        <rFont val="Wingdings"/>
        <charset val="2"/>
      </rPr>
      <t>ð</t>
    </r>
  </si>
  <si>
    <t>Version 1</t>
  </si>
  <si>
    <t>nicht definierte Rast</t>
  </si>
  <si>
    <t>Malzsorte_1</t>
  </si>
  <si>
    <t>Malzprozent_1</t>
  </si>
  <si>
    <t>Malzsorte_2</t>
  </si>
  <si>
    <t>Malzprozent_2</t>
  </si>
  <si>
    <t>Malzsorte_3</t>
  </si>
  <si>
    <t>Malzprozent_3</t>
  </si>
  <si>
    <t>Malzsorte_4</t>
  </si>
  <si>
    <t>Malzprozent_4</t>
  </si>
  <si>
    <t>Malzsorte_5</t>
  </si>
  <si>
    <t>Malzprozent_6</t>
  </si>
  <si>
    <t>Maischverfahren</t>
  </si>
  <si>
    <t>Rasttemp_1</t>
  </si>
  <si>
    <t>Rastzeit_1</t>
  </si>
  <si>
    <t>Sudnummer</t>
  </si>
  <si>
    <t>Malzkilo_2</t>
  </si>
  <si>
    <t>Malzkilo_1</t>
  </si>
  <si>
    <t>Malzkilo_3</t>
  </si>
  <si>
    <t>Malzkilo_4</t>
  </si>
  <si>
    <t>Malzprozent_5</t>
  </si>
  <si>
    <t>Malzkilo_5</t>
  </si>
  <si>
    <t>Malzsorte_6</t>
  </si>
  <si>
    <t>Malzkilo_6</t>
  </si>
  <si>
    <t>Rasttemp_2</t>
  </si>
  <si>
    <t>Rastzeit_2</t>
  </si>
  <si>
    <t>Rasttemp_3</t>
  </si>
  <si>
    <t>Rastzeit_3</t>
  </si>
  <si>
    <t>Rasttemp_Koch1_1</t>
  </si>
  <si>
    <t>Rastzeit_Koch1_1</t>
  </si>
  <si>
    <t>Rasttemp_Koch1_2</t>
  </si>
  <si>
    <t>Rastzeit_Koch1_2</t>
  </si>
  <si>
    <t>Rasttemp_Koch1_3</t>
  </si>
  <si>
    <t>Rastzeit_Koch1_3</t>
  </si>
  <si>
    <t>Rasttemp_Koch1_4</t>
  </si>
  <si>
    <t>Rastzeit_Koch1_4</t>
  </si>
  <si>
    <t>Rasttemp_Koch1_5</t>
  </si>
  <si>
    <t>Rastzeit_Koch1_5</t>
  </si>
  <si>
    <t>Rasttemp_Koch2_1</t>
  </si>
  <si>
    <t>Rastzeit_Koch2_1</t>
  </si>
  <si>
    <t>Rasttemp_Koch2_2</t>
  </si>
  <si>
    <t>Rastzeit_Koch2_2</t>
  </si>
  <si>
    <t>Rasttemp_Koch2_3</t>
  </si>
  <si>
    <t>Rastzeit_Koch2_3</t>
  </si>
  <si>
    <t>Rasttemp_4</t>
  </si>
  <si>
    <t>Rastzeit_4</t>
  </si>
  <si>
    <t>Hopfen_1</t>
  </si>
  <si>
    <t>Säure_1</t>
  </si>
  <si>
    <t>Kochzeit_1</t>
  </si>
  <si>
    <t>Hopfensäckchen_1</t>
  </si>
  <si>
    <t>Menge_g-l_1</t>
  </si>
  <si>
    <t>Menge_g_1</t>
  </si>
  <si>
    <t>Hopfen_2</t>
  </si>
  <si>
    <t>Säure_2</t>
  </si>
  <si>
    <t>Hopfensäckchen_2</t>
  </si>
  <si>
    <t>Kochzeit_2</t>
  </si>
  <si>
    <t>Menge_g-l_2</t>
  </si>
  <si>
    <t>Menge_g_2</t>
  </si>
  <si>
    <t>Hopfen_3</t>
  </si>
  <si>
    <t>Säure_3</t>
  </si>
  <si>
    <t>Hopfensäckchen_3</t>
  </si>
  <si>
    <t>Kochzeit_3</t>
  </si>
  <si>
    <t>Menge_g-l_3</t>
  </si>
  <si>
    <t>Menge_g_3</t>
  </si>
  <si>
    <t>Hopfen_4</t>
  </si>
  <si>
    <t>Säure_4</t>
  </si>
  <si>
    <t>Hopfensäckchen_4</t>
  </si>
  <si>
    <t>Kochzeit_4</t>
  </si>
  <si>
    <t>Menge_g-l_4</t>
  </si>
  <si>
    <t>Menge_g_4</t>
  </si>
  <si>
    <t>Hefetyp</t>
  </si>
  <si>
    <t>Kalthopfung_tage</t>
  </si>
  <si>
    <t>Kalthopfung_temp</t>
  </si>
  <si>
    <t>Hopfen_5</t>
  </si>
  <si>
    <t>Säure_5</t>
  </si>
  <si>
    <t>Menge_g-l_5</t>
  </si>
  <si>
    <t>Menge_g_5</t>
  </si>
  <si>
    <t>Hopfen_6</t>
  </si>
  <si>
    <t>Säure_6</t>
  </si>
  <si>
    <t>Menge_g-l_6</t>
  </si>
  <si>
    <t>Menge_g_6</t>
  </si>
  <si>
    <t>Restextrakt</t>
  </si>
  <si>
    <t>Maische</t>
  </si>
  <si>
    <t>Maischeprozent</t>
  </si>
  <si>
    <t>Anmerkungen</t>
  </si>
  <si>
    <t>Märzen</t>
  </si>
  <si>
    <t>Hellgrau</t>
  </si>
  <si>
    <t>Grau</t>
  </si>
  <si>
    <t>wählen</t>
  </si>
  <si>
    <t>export</t>
  </si>
  <si>
    <t>#neu: Exportfunktion der Daten für das Sudbuch</t>
  </si>
  <si>
    <t>#geändert: farbliche Markierung der einzelnen Zellen geändert</t>
  </si>
  <si>
    <t>ò</t>
  </si>
  <si>
    <t>Tage</t>
  </si>
  <si>
    <t>Pale Ale</t>
  </si>
  <si>
    <t>Kölsch</t>
  </si>
  <si>
    <t>Thermometer, funktionsfähig</t>
  </si>
  <si>
    <t>Brauerei Schlüssel</t>
  </si>
  <si>
    <t>Rechenfibel</t>
  </si>
  <si>
    <t>SG</t>
  </si>
  <si>
    <r>
      <t>CO</t>
    </r>
    <r>
      <rPr>
        <b/>
        <vertAlign val="subscript"/>
        <sz val="10"/>
        <rFont val="Sylfaen"/>
        <family val="1"/>
      </rPr>
      <t>2</t>
    </r>
    <r>
      <rPr>
        <b/>
        <sz val="10"/>
        <rFont val="Sylfaen"/>
        <family val="1"/>
      </rPr>
      <t>-Gehalt im Bier</t>
    </r>
  </si>
  <si>
    <r>
      <t>CO</t>
    </r>
    <r>
      <rPr>
        <vertAlign val="subscript"/>
        <sz val="10"/>
        <rFont val="Sylfaen"/>
        <family val="1"/>
      </rPr>
      <t>2</t>
    </r>
    <r>
      <rPr>
        <sz val="10"/>
        <rFont val="Sylfaen"/>
        <family val="1"/>
      </rPr>
      <t>-Druck</t>
    </r>
  </si>
  <si>
    <t>Dichte:</t>
  </si>
  <si>
    <r>
      <t>gewünschter CO</t>
    </r>
    <r>
      <rPr>
        <vertAlign val="subscript"/>
        <sz val="10"/>
        <rFont val="Sylfaen"/>
        <family val="1"/>
      </rPr>
      <t>2</t>
    </r>
    <r>
      <rPr>
        <sz val="10"/>
        <rFont val="Sylfaen"/>
        <family val="1"/>
      </rPr>
      <t>-Gehalt</t>
    </r>
  </si>
  <si>
    <t>°F</t>
  </si>
  <si>
    <t>mm</t>
  </si>
  <si>
    <t>US gal</t>
  </si>
  <si>
    <t>Zoll</t>
  </si>
  <si>
    <t>oz</t>
  </si>
  <si>
    <t>Umrechnungen</t>
  </si>
  <si>
    <t>Brauwasseraufbereitung</t>
  </si>
  <si>
    <t>mg/l</t>
  </si>
  <si>
    <t>Calciumhärte</t>
  </si>
  <si>
    <t>°dH</t>
  </si>
  <si>
    <t>Magnesiumhärte</t>
  </si>
  <si>
    <t>Gesamthärte</t>
  </si>
  <si>
    <r>
      <t>Säurekapazität K</t>
    </r>
    <r>
      <rPr>
        <vertAlign val="subscript"/>
        <sz val="10"/>
        <rFont val="Sylfaen"/>
        <family val="1"/>
      </rPr>
      <t>S4,3</t>
    </r>
  </si>
  <si>
    <t>mmol/l</t>
  </si>
  <si>
    <t>Carbonathärte</t>
  </si>
  <si>
    <t>Restalkalität</t>
  </si>
  <si>
    <r>
      <t>Calcium Ca</t>
    </r>
    <r>
      <rPr>
        <vertAlign val="superscript"/>
        <sz val="10"/>
        <rFont val="Sylfaen"/>
        <family val="1"/>
      </rPr>
      <t>2+</t>
    </r>
  </si>
  <si>
    <r>
      <t>Magnesium Mg</t>
    </r>
    <r>
      <rPr>
        <vertAlign val="superscript"/>
        <sz val="10"/>
        <rFont val="Sylfaen"/>
        <family val="1"/>
      </rPr>
      <t>2+</t>
    </r>
  </si>
  <si>
    <t>Wassermenge</t>
  </si>
  <si>
    <t>gewünschte Restalkalität</t>
  </si>
  <si>
    <t>Restextrakt Schnellgärprobe</t>
  </si>
  <si>
    <r>
      <rPr>
        <b/>
        <sz val="10"/>
        <rFont val="Wingdings"/>
        <charset val="2"/>
      </rPr>
      <t>ð</t>
    </r>
    <r>
      <rPr>
        <b/>
        <sz val="12"/>
        <rFont val="Sylfaen"/>
        <family val="1"/>
      </rPr>
      <t xml:space="preserve"> </t>
    </r>
    <r>
      <rPr>
        <b/>
        <sz val="10"/>
        <rFont val="Sylfaen"/>
        <family val="1"/>
      </rPr>
      <t>EVGs</t>
    </r>
  </si>
  <si>
    <t>Vol.%</t>
  </si>
  <si>
    <t>/</t>
  </si>
  <si>
    <t>Gew.%</t>
  </si>
  <si>
    <t>Vergärungsgrade</t>
  </si>
  <si>
    <t>Endvergärungsgrad</t>
  </si>
  <si>
    <t>Gärkellervergärungsgrad</t>
  </si>
  <si>
    <r>
      <rPr>
        <b/>
        <sz val="10"/>
        <rFont val="Wingdings"/>
        <charset val="2"/>
      </rPr>
      <t>ð</t>
    </r>
    <r>
      <rPr>
        <b/>
        <sz val="12"/>
        <rFont val="Sylfaen"/>
        <family val="1"/>
      </rPr>
      <t xml:space="preserve"> </t>
    </r>
    <r>
      <rPr>
        <b/>
        <sz val="10"/>
        <rFont val="Sylfaen"/>
        <family val="1"/>
      </rPr>
      <t>GVGs</t>
    </r>
  </si>
  <si>
    <t>Alkoholgehalt &amp; physiologischer Brennwert des endvergorenen Bieres</t>
  </si>
  <si>
    <t>Brennwert</t>
  </si>
  <si>
    <t>kcal</t>
  </si>
  <si>
    <t>kJ</t>
  </si>
  <si>
    <t>Restextrakt n. Hauptgärung</t>
  </si>
  <si>
    <t>Restextrakt vor der Abfüllung</t>
  </si>
  <si>
    <r>
      <rPr>
        <b/>
        <sz val="10"/>
        <rFont val="Wingdings"/>
        <charset val="2"/>
      </rPr>
      <t>ð</t>
    </r>
    <r>
      <rPr>
        <b/>
        <sz val="12"/>
        <rFont val="Sylfaen"/>
        <family val="1"/>
      </rPr>
      <t xml:space="preserve"> </t>
    </r>
    <r>
      <rPr>
        <b/>
        <sz val="10"/>
        <rFont val="Sylfaen"/>
        <family val="1"/>
      </rPr>
      <t>AVGs</t>
    </r>
  </si>
  <si>
    <t>Ausbeuten</t>
  </si>
  <si>
    <t>Menge geschlauchtes Jungbier</t>
  </si>
  <si>
    <t>rechenfibel</t>
  </si>
  <si>
    <r>
      <t xml:space="preserve">g/l  </t>
    </r>
    <r>
      <rPr>
        <sz val="10"/>
        <rFont val="Wingdings"/>
        <charset val="2"/>
      </rPr>
      <t>ð</t>
    </r>
  </si>
  <si>
    <r>
      <rPr>
        <b/>
        <sz val="10"/>
        <rFont val="Wingdings"/>
        <charset val="2"/>
      </rPr>
      <t>ð</t>
    </r>
    <r>
      <rPr>
        <b/>
        <sz val="12"/>
        <rFont val="Sylfaen"/>
        <family val="1"/>
      </rPr>
      <t xml:space="preserve"> </t>
    </r>
    <r>
      <rPr>
        <b/>
        <sz val="10"/>
        <rFont val="Sylfaen"/>
        <family val="1"/>
      </rPr>
      <t>durch Zugabe von</t>
    </r>
  </si>
  <si>
    <t>Form</t>
  </si>
  <si>
    <t>Zeitpunkt der Gabe</t>
  </si>
  <si>
    <t>Sack</t>
  </si>
  <si>
    <t>Bignes</t>
  </si>
  <si>
    <t>Gesamt:</t>
  </si>
  <si>
    <t>Gabe:</t>
  </si>
  <si>
    <r>
      <t xml:space="preserve">IBU-Berechnung nach </t>
    </r>
    <r>
      <rPr>
        <b/>
        <i/>
        <sz val="10"/>
        <rFont val="Sylfaen"/>
        <family val="1"/>
      </rPr>
      <t>Glenn Tinseth</t>
    </r>
  </si>
  <si>
    <t>Berechnung Schüttungsmenge bei bekannter/angenommener Sudhausausbeute</t>
  </si>
  <si>
    <t>Berechnung Hauptgussmenge bei bekannter/angenommener Sudhausausbeute</t>
  </si>
  <si>
    <t>Höhe</t>
  </si>
  <si>
    <t>cm</t>
  </si>
  <si>
    <t>Durchmesser</t>
  </si>
  <si>
    <t>Volumen eines zylindrischen Topfs</t>
  </si>
  <si>
    <t>lbs.</t>
  </si>
  <si>
    <t>inch</t>
  </si>
  <si>
    <t>Form_1</t>
  </si>
  <si>
    <t>Form_2</t>
  </si>
  <si>
    <t>Zeitpunkt_1</t>
  </si>
  <si>
    <t>Zeitpunkt_2</t>
  </si>
  <si>
    <t>Form_3</t>
  </si>
  <si>
    <t>Zeitpunkt_3</t>
  </si>
  <si>
    <t>Form_4</t>
  </si>
  <si>
    <t>Zeitpunkt_4</t>
  </si>
  <si>
    <t>Form_5</t>
  </si>
  <si>
    <t>Hopfensäckchen_5</t>
  </si>
  <si>
    <t>Zeitpunkt_5</t>
  </si>
  <si>
    <t>Kochzeit_5</t>
  </si>
  <si>
    <t>#ergänzt um: 5. Hopfengabe</t>
  </si>
  <si>
    <t>#geändert: Eingabe der Hopfengaben</t>
  </si>
  <si>
    <t>ml bzw.</t>
  </si>
  <si>
    <r>
      <t>g/cm</t>
    </r>
    <r>
      <rPr>
        <vertAlign val="superscript"/>
        <sz val="10"/>
        <rFont val="Sylfaen"/>
        <family val="1"/>
      </rPr>
      <t>3</t>
    </r>
  </si>
  <si>
    <t>g Milchsäure 80%-ig</t>
  </si>
  <si>
    <t>weitere Hilfsstoffe: Milchsäure, etc.</t>
  </si>
  <si>
    <t>Maischverfahren wählen</t>
  </si>
  <si>
    <t>N</t>
  </si>
  <si>
    <t>Farbwertbestimmung (EBC) bei bekannter/angenommener Sudhausausbeute</t>
  </si>
  <si>
    <t>Gesamtschüttung</t>
  </si>
  <si>
    <t>1. Gabe</t>
  </si>
  <si>
    <t>2. Gabe</t>
  </si>
  <si>
    <t>3. Gabe</t>
  </si>
  <si>
    <t>4. Gabe</t>
  </si>
  <si>
    <t>5. Gabe</t>
  </si>
  <si>
    <t>Ausstoßvergärungsgrad</t>
  </si>
  <si>
    <t>#bug: Berechnung Scheinbarer Restextrakt korrigiert</t>
  </si>
  <si>
    <t>Endvergärungsgrad der Hefe nach Herstellerangaben</t>
  </si>
  <si>
    <r>
      <t>Restextrakt</t>
    </r>
    <r>
      <rPr>
        <b/>
        <vertAlign val="subscript"/>
        <sz val="10"/>
        <rFont val="Sylfaen"/>
        <family val="1"/>
      </rPr>
      <t>scheinbar</t>
    </r>
  </si>
  <si>
    <t>Tag 0</t>
  </si>
  <si>
    <t>Fermentis SafAle T-58</t>
  </si>
  <si>
    <t>#geändert: Angaben zu Fermentis Hefen nach Herstellerangaben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</si>
</sst>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164" formatCode="0.0"/>
    <numFmt numFmtId="165" formatCode="h:mm;@"/>
    <numFmt numFmtId="166" formatCode="0.0\ &quot;Liter&quot;"/>
    <numFmt numFmtId="167" formatCode="0.0\ &quot;°P&quot;"/>
    <numFmt numFmtId="168" formatCode="0.00\ &quot;kg&quot;"/>
    <numFmt numFmtId="169" formatCode="h:mm"/>
    <numFmt numFmtId="170" formatCode="0.0%"/>
    <numFmt numFmtId="171" formatCode="#&quot;g&quot;"/>
    <numFmt numFmtId="172" formatCode="#&quot;min.&quot;"/>
    <numFmt numFmtId="173" formatCode="dd/mm/yy;@"/>
    <numFmt numFmtId="174" formatCode="#.#&quot;kW&quot;"/>
    <numFmt numFmtId="175" formatCode="#\ &quot;EBC&quot;"/>
    <numFmt numFmtId="176" formatCode="0\ &quot;Liter&quot;"/>
    <numFmt numFmtId="177" formatCode="[m]"/>
    <numFmt numFmtId="178" formatCode="[$-407]d/\ mmmm\ yyyy;@"/>
    <numFmt numFmtId="179" formatCode="0.0&quot; kg&quot;"/>
    <numFmt numFmtId="180" formatCode="0.0&quot; Ltr.&quot;"/>
    <numFmt numFmtId="181" formatCode="0.0&quot; °P&quot;"/>
    <numFmt numFmtId="182" formatCode="0.0&quot; %&quot;"/>
    <numFmt numFmtId="183" formatCode="0.0&quot; Vol.%&quot;"/>
    <numFmt numFmtId="184" formatCode="0.0\ &quot;bar&quot;"/>
    <numFmt numFmtId="185" formatCode="0.0\ &quot;g/l&quot;"/>
    <numFmt numFmtId="186" formatCode="0.0&quot;%&quot;"/>
    <numFmt numFmtId="187" formatCode="dd/mm/"/>
    <numFmt numFmtId="188" formatCode="0\ &quot;g&quot;"/>
    <numFmt numFmtId="189" formatCode="&quot;Postfach&quot;\ 0"/>
    <numFmt numFmtId="190" formatCode="&quot;ca.&quot;\ 0.0\ &quot;% Alc.&quot;"/>
    <numFmt numFmtId="191" formatCode="0\ &quot;IBU&quot;"/>
    <numFmt numFmtId="192" formatCode="0\ &quot;EBC&quot;"/>
    <numFmt numFmtId="193" formatCode="#,##0.00\ &quot;€&quot;"/>
    <numFmt numFmtId="194" formatCode="0&quot;min.&quot;"/>
    <numFmt numFmtId="195" formatCode="0.000"/>
    <numFmt numFmtId="196" formatCode="0.0000"/>
    <numFmt numFmtId="197" formatCode="dd/mm/yy"/>
    <numFmt numFmtId="198" formatCode="&quot;V.&quot;\ dd/mm/yyyy"/>
    <numFmt numFmtId="199" formatCode="0\ &quot;°C&quot;"/>
    <numFmt numFmtId="200" formatCode="0.0\ &quot;kg&quot;"/>
    <numFmt numFmtId="201" formatCode="0.000000000"/>
    <numFmt numFmtId="202" formatCode="0&quot;°C&quot;"/>
  </numFmts>
  <fonts count="115">
    <font>
      <sz val="10"/>
      <name val="Arial"/>
    </font>
    <font>
      <sz val="11"/>
      <color theme="1"/>
      <name val="Calibri"/>
      <family val="2"/>
      <scheme val="minor"/>
    </font>
    <font>
      <sz val="11"/>
      <color theme="1"/>
      <name val="Calibri"/>
      <family val="2"/>
      <scheme val="minor"/>
    </font>
    <font>
      <sz val="10"/>
      <name val="Sylfaen"/>
      <family val="1"/>
    </font>
    <font>
      <b/>
      <sz val="14"/>
      <name val="Sylfaen"/>
      <family val="1"/>
    </font>
    <font>
      <b/>
      <sz val="22"/>
      <name val="Sylfaen"/>
      <family val="1"/>
    </font>
    <font>
      <b/>
      <sz val="10"/>
      <name val="Sylfaen"/>
      <family val="1"/>
    </font>
    <font>
      <b/>
      <sz val="12"/>
      <name val="Sylfaen"/>
      <family val="1"/>
    </font>
    <font>
      <sz val="8"/>
      <color indexed="81"/>
      <name val="Tahoma"/>
      <family val="2"/>
    </font>
    <font>
      <sz val="9"/>
      <name val="Sylfaen"/>
      <family val="1"/>
    </font>
    <font>
      <sz val="8"/>
      <name val="Arial"/>
      <family val="2"/>
    </font>
    <font>
      <b/>
      <sz val="9"/>
      <name val="Sylfaen"/>
      <family val="1"/>
    </font>
    <font>
      <sz val="7"/>
      <name val="Sylfaen"/>
      <family val="1"/>
    </font>
    <font>
      <i/>
      <sz val="8"/>
      <color indexed="81"/>
      <name val="Arial"/>
      <family val="2"/>
    </font>
    <font>
      <sz val="8"/>
      <name val="Arial Narrow"/>
      <family val="2"/>
    </font>
    <font>
      <i/>
      <sz val="10"/>
      <name val="Sylfaen"/>
      <family val="1"/>
    </font>
    <font>
      <i/>
      <sz val="8"/>
      <name val="Sylfaen"/>
      <family val="1"/>
    </font>
    <font>
      <sz val="10"/>
      <name val="Arial"/>
      <family val="2"/>
    </font>
    <font>
      <sz val="8"/>
      <name val="Sylfaen"/>
      <family val="1"/>
    </font>
    <font>
      <i/>
      <sz val="8"/>
      <name val="Arial"/>
      <family val="2"/>
    </font>
    <font>
      <b/>
      <i/>
      <sz val="9"/>
      <name val="Sylfaen"/>
      <family val="1"/>
    </font>
    <font>
      <i/>
      <sz val="9"/>
      <name val="Sylfaen"/>
      <family val="1"/>
    </font>
    <font>
      <b/>
      <sz val="8"/>
      <color indexed="81"/>
      <name val="Tahoma"/>
      <family val="2"/>
    </font>
    <font>
      <sz val="8"/>
      <color indexed="81"/>
      <name val="Sylfaen"/>
      <family val="1"/>
    </font>
    <font>
      <sz val="14"/>
      <name val="Wingdings"/>
      <charset val="2"/>
    </font>
    <font>
      <sz val="11"/>
      <name val="Arial"/>
      <family val="2"/>
    </font>
    <font>
      <sz val="11"/>
      <name val="Sylfaen"/>
      <family val="1"/>
    </font>
    <font>
      <sz val="11"/>
      <name val="Wingdings"/>
      <charset val="2"/>
    </font>
    <font>
      <sz val="12"/>
      <name val="Arial"/>
      <family val="2"/>
    </font>
    <font>
      <b/>
      <sz val="12"/>
      <name val="Arial"/>
      <family val="2"/>
    </font>
    <font>
      <b/>
      <sz val="9"/>
      <color indexed="17"/>
      <name val="Sylfaen"/>
      <family val="1"/>
    </font>
    <font>
      <vertAlign val="subscript"/>
      <sz val="9"/>
      <name val="Sylfaen"/>
      <family val="1"/>
    </font>
    <font>
      <sz val="14"/>
      <name val="Sylfaen"/>
      <family val="1"/>
    </font>
    <font>
      <b/>
      <i/>
      <sz val="10"/>
      <name val="Sylfaen"/>
      <family val="1"/>
    </font>
    <font>
      <sz val="10"/>
      <name val="Wingdings 2"/>
      <family val="1"/>
      <charset val="2"/>
    </font>
    <font>
      <b/>
      <sz val="14"/>
      <name val="Wingdings"/>
      <charset val="2"/>
    </font>
    <font>
      <b/>
      <sz val="8"/>
      <name val="Sylfaen"/>
      <family val="1"/>
    </font>
    <font>
      <b/>
      <sz val="11"/>
      <name val="Sylfaen"/>
      <family val="1"/>
    </font>
    <font>
      <u/>
      <sz val="12"/>
      <color theme="10"/>
      <name val="Arial"/>
      <family val="2"/>
    </font>
    <font>
      <sz val="10"/>
      <color rgb="FFFF0000"/>
      <name val="Sylfaen"/>
      <family val="1"/>
    </font>
    <font>
      <b/>
      <sz val="9"/>
      <color rgb="FF000080"/>
      <name val="Sylfaen"/>
      <family val="1"/>
    </font>
    <font>
      <b/>
      <sz val="9"/>
      <color rgb="FF993300"/>
      <name val="Sylfaen"/>
      <family val="1"/>
    </font>
    <font>
      <b/>
      <sz val="9"/>
      <color rgb="FF008000"/>
      <name val="Sylfaen"/>
      <family val="1"/>
    </font>
    <font>
      <b/>
      <u/>
      <sz val="10"/>
      <color theme="10"/>
      <name val="Arial"/>
      <family val="2"/>
    </font>
    <font>
      <b/>
      <u/>
      <sz val="14"/>
      <color theme="10"/>
      <name val="Wingdings"/>
      <charset val="2"/>
    </font>
    <font>
      <b/>
      <sz val="8"/>
      <color rgb="FFFF0000"/>
      <name val="Sylfaen"/>
      <family val="1"/>
    </font>
    <font>
      <b/>
      <sz val="11"/>
      <name val="Wingdings"/>
      <charset val="2"/>
    </font>
    <font>
      <sz val="8"/>
      <color rgb="FF000000"/>
      <name val="Tahoma"/>
      <family val="2"/>
    </font>
    <font>
      <sz val="10"/>
      <name val="Arial"/>
      <family val="2"/>
    </font>
    <font>
      <sz val="12"/>
      <name val="Wingdings 3"/>
      <family val="1"/>
      <charset val="2"/>
    </font>
    <font>
      <b/>
      <sz val="10"/>
      <name val="Arial"/>
      <family val="2"/>
    </font>
    <font>
      <sz val="10"/>
      <name val="Wingdings 3"/>
      <family val="1"/>
      <charset val="2"/>
    </font>
    <font>
      <b/>
      <sz val="8"/>
      <name val="Arial Narrow"/>
      <family val="2"/>
    </font>
    <font>
      <u/>
      <sz val="8"/>
      <color theme="10"/>
      <name val="Arial Narrow"/>
      <family val="2"/>
    </font>
    <font>
      <sz val="8"/>
      <color theme="1"/>
      <name val="Arial Narrow"/>
      <family val="2"/>
    </font>
    <font>
      <b/>
      <sz val="11"/>
      <color theme="1"/>
      <name val="Calibri"/>
      <family val="2"/>
      <scheme val="minor"/>
    </font>
    <font>
      <sz val="10"/>
      <color theme="1"/>
      <name val="Arial"/>
      <family val="2"/>
    </font>
    <font>
      <sz val="11"/>
      <color theme="1"/>
      <name val="Arial"/>
      <family val="2"/>
    </font>
    <font>
      <sz val="8"/>
      <color theme="1"/>
      <name val="Arial"/>
      <family val="2"/>
    </font>
    <font>
      <sz val="9"/>
      <color theme="1"/>
      <name val="Arial"/>
      <family val="2"/>
    </font>
    <font>
      <b/>
      <sz val="14"/>
      <color theme="1"/>
      <name val="Arial"/>
      <family val="2"/>
    </font>
    <font>
      <b/>
      <sz val="10"/>
      <color theme="5"/>
      <name val="Sylfaen"/>
      <family val="1"/>
    </font>
    <font>
      <sz val="10"/>
      <color theme="0"/>
      <name val="Sylfaen"/>
      <family val="1"/>
    </font>
    <font>
      <sz val="10"/>
      <color theme="5"/>
      <name val="Sylfaen"/>
      <family val="1"/>
    </font>
    <font>
      <sz val="10"/>
      <color theme="6"/>
      <name val="Sylfaen"/>
      <family val="1"/>
    </font>
    <font>
      <i/>
      <sz val="7"/>
      <name val="Sylfaen"/>
      <family val="1"/>
    </font>
    <font>
      <sz val="10"/>
      <color rgb="FFFFFF00"/>
      <name val="Sylfaen"/>
      <family val="1"/>
    </font>
    <font>
      <b/>
      <sz val="10"/>
      <color rgb="FFFF0000"/>
      <name val="Sylfaen"/>
      <family val="1"/>
    </font>
    <font>
      <b/>
      <sz val="18"/>
      <color theme="1"/>
      <name val="Sylfaen"/>
      <family val="1"/>
    </font>
    <font>
      <b/>
      <sz val="8"/>
      <color theme="1"/>
      <name val="Arial"/>
      <family val="2"/>
    </font>
    <font>
      <sz val="9"/>
      <name val="Arial"/>
      <family val="2"/>
    </font>
    <font>
      <b/>
      <u/>
      <sz val="10"/>
      <color theme="10"/>
      <name val="Wingdings"/>
      <charset val="2"/>
    </font>
    <font>
      <sz val="10"/>
      <color theme="1"/>
      <name val="Sylfaen"/>
      <family val="1"/>
    </font>
    <font>
      <b/>
      <sz val="24"/>
      <color theme="4" tint="-0.499984740745262"/>
      <name val="Sylfaen"/>
      <family val="1"/>
    </font>
    <font>
      <sz val="10"/>
      <name val="Arial Narrow"/>
      <family val="2"/>
    </font>
    <font>
      <b/>
      <sz val="12"/>
      <color theme="10"/>
      <name val="Wingdings"/>
      <charset val="2"/>
    </font>
    <font>
      <sz val="9"/>
      <color theme="4" tint="-0.499984740745262"/>
      <name val="Sylfaen"/>
      <family val="1"/>
    </font>
    <font>
      <sz val="11"/>
      <color theme="4" tint="-0.499984740745262"/>
      <name val="Calibri"/>
      <family val="2"/>
      <scheme val="minor"/>
    </font>
    <font>
      <sz val="9"/>
      <color theme="4" tint="-0.499984740745262"/>
      <name val="Calibri"/>
      <family val="2"/>
      <scheme val="minor"/>
    </font>
    <font>
      <sz val="8"/>
      <color theme="4" tint="-0.499984740745262"/>
      <name val="Sylfaen"/>
      <family val="1"/>
    </font>
    <font>
      <sz val="8"/>
      <color theme="4" tint="-0.499984740745262"/>
      <name val="Arial"/>
      <family val="2"/>
    </font>
    <font>
      <sz val="9"/>
      <color theme="4" tint="-0.499984740745262"/>
      <name val="Arial"/>
      <family val="2"/>
    </font>
    <font>
      <sz val="12"/>
      <color rgb="FF244062"/>
      <name val="Sylfaen"/>
      <family val="1"/>
    </font>
    <font>
      <sz val="8"/>
      <color rgb="FF244062"/>
      <name val="Sylfaen"/>
      <family val="1"/>
    </font>
    <font>
      <b/>
      <sz val="8"/>
      <color rgb="FF244062"/>
      <name val="Sylfaen"/>
      <family val="1"/>
    </font>
    <font>
      <sz val="11"/>
      <color rgb="FF244062"/>
      <name val="Calibri"/>
      <family val="2"/>
      <scheme val="minor"/>
    </font>
    <font>
      <b/>
      <sz val="9"/>
      <color rgb="FF244062"/>
      <name val="Sylfaen"/>
      <family val="1"/>
    </font>
    <font>
      <b/>
      <sz val="10"/>
      <name val="Arial Narrow"/>
      <family val="2"/>
    </font>
    <font>
      <sz val="9"/>
      <color rgb="FF244062"/>
      <name val="Sylfaen"/>
      <family val="1"/>
    </font>
    <font>
      <sz val="9"/>
      <color rgb="FF244062"/>
      <name val="Calibri"/>
      <family val="2"/>
      <scheme val="minor"/>
    </font>
    <font>
      <sz val="9"/>
      <color rgb="FF244062"/>
      <name val="Arial"/>
      <family val="2"/>
    </font>
    <font>
      <sz val="8"/>
      <color rgb="FF244062"/>
      <name val="Arial"/>
      <family val="2"/>
    </font>
    <font>
      <b/>
      <sz val="24"/>
      <color rgb="FF244062"/>
      <name val="Sylfaen"/>
      <family val="1"/>
    </font>
    <font>
      <b/>
      <u/>
      <sz val="12"/>
      <color theme="10"/>
      <name val="Arial"/>
      <family val="2"/>
    </font>
    <font>
      <b/>
      <sz val="16"/>
      <name val="Arial"/>
      <family val="2"/>
    </font>
    <font>
      <b/>
      <u/>
      <sz val="16"/>
      <color theme="10"/>
      <name val="Arial"/>
      <family val="2"/>
    </font>
    <font>
      <sz val="9"/>
      <color indexed="81"/>
      <name val="Segoe UI"/>
      <family val="2"/>
    </font>
    <font>
      <b/>
      <sz val="12"/>
      <name val="Wingdings"/>
      <charset val="2"/>
    </font>
    <font>
      <b/>
      <sz val="52"/>
      <name val="Arial"/>
      <family val="2"/>
    </font>
    <font>
      <sz val="10"/>
      <name val="Wingdings"/>
      <charset val="2"/>
    </font>
    <font>
      <vertAlign val="subscript"/>
      <sz val="10"/>
      <name val="Sylfaen"/>
      <family val="1"/>
    </font>
    <font>
      <sz val="9"/>
      <color rgb="FF000080"/>
      <name val="Sylfaen"/>
      <family val="1"/>
    </font>
    <font>
      <sz val="9"/>
      <color rgb="FF993300"/>
      <name val="Sylfaen"/>
      <family val="1"/>
    </font>
    <font>
      <sz val="9"/>
      <color rgb="FF008000"/>
      <name val="Sylfaen"/>
      <family val="1"/>
    </font>
    <font>
      <sz val="9"/>
      <color indexed="18"/>
      <name val="Sylfaen"/>
      <family val="1"/>
    </font>
    <font>
      <sz val="9"/>
      <color indexed="60"/>
      <name val="Sylfaen"/>
      <family val="1"/>
    </font>
    <font>
      <sz val="9"/>
      <color indexed="17"/>
      <name val="Sylfaen"/>
      <family val="1"/>
    </font>
    <font>
      <b/>
      <i/>
      <sz val="10"/>
      <color theme="10"/>
      <name val="Sylfaen"/>
      <family val="1"/>
    </font>
    <font>
      <sz val="11"/>
      <name val="Wingdings 3"/>
      <family val="1"/>
      <charset val="2"/>
    </font>
    <font>
      <b/>
      <sz val="10"/>
      <name val="Wingdings"/>
      <charset val="2"/>
    </font>
    <font>
      <b/>
      <vertAlign val="subscript"/>
      <sz val="10"/>
      <name val="Sylfaen"/>
      <family val="1"/>
    </font>
    <font>
      <vertAlign val="superscript"/>
      <sz val="10"/>
      <name val="Sylfaen"/>
      <family val="1"/>
    </font>
    <font>
      <b/>
      <sz val="10"/>
      <name val="Sylfaen"/>
      <family val="1"/>
      <charset val="2"/>
    </font>
    <font>
      <sz val="6"/>
      <name val="Arial Narrow"/>
      <family val="2"/>
    </font>
    <font>
      <sz val="9"/>
      <color theme="0"/>
      <name val="Sylfaen"/>
      <family val="1"/>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24406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FCC"/>
        <bgColor indexed="64"/>
      </patternFill>
    </fill>
  </fills>
  <borders count="37">
    <border>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0" fontId="38" fillId="0" borderId="0" applyNumberFormat="0" applyFill="0" applyBorder="0" applyAlignment="0" applyProtection="0">
      <alignment vertical="top"/>
      <protection locked="0"/>
    </xf>
    <xf numFmtId="0" fontId="17" fillId="0" borderId="0"/>
    <xf numFmtId="9" fontId="48" fillId="0" borderId="0" applyFont="0" applyFill="0" applyBorder="0" applyAlignment="0" applyProtection="0"/>
    <xf numFmtId="0" fontId="2" fillId="0" borderId="0"/>
    <xf numFmtId="0" fontId="1" fillId="0" borderId="0"/>
  </cellStyleXfs>
  <cellXfs count="1220">
    <xf numFmtId="0" fontId="0" fillId="0" borderId="0" xfId="0"/>
    <xf numFmtId="0" fontId="3" fillId="2" borderId="1" xfId="0" applyFont="1" applyFill="1" applyBorder="1" applyAlignment="1" applyProtection="1">
      <alignment vertical="center"/>
      <protection locked="0"/>
    </xf>
    <xf numFmtId="0" fontId="3" fillId="2" borderId="0" xfId="0" applyFont="1" applyFill="1" applyAlignment="1" applyProtection="1">
      <alignment vertical="center"/>
      <protection hidden="1"/>
    </xf>
    <xf numFmtId="0" fontId="3" fillId="2" borderId="0" xfId="0" applyFont="1" applyFill="1" applyAlignment="1" applyProtection="1">
      <alignment horizontal="right" vertical="center"/>
      <protection hidden="1"/>
    </xf>
    <xf numFmtId="0" fontId="3" fillId="2" borderId="2" xfId="0" applyFont="1" applyFill="1" applyBorder="1" applyAlignment="1" applyProtection="1">
      <alignment vertical="center"/>
      <protection hidden="1"/>
    </xf>
    <xf numFmtId="0" fontId="3" fillId="2" borderId="3" xfId="0" applyFont="1" applyFill="1" applyBorder="1" applyAlignment="1" applyProtection="1">
      <alignment vertical="center"/>
      <protection hidden="1"/>
    </xf>
    <xf numFmtId="0" fontId="3" fillId="2" borderId="4" xfId="0" applyFont="1" applyFill="1" applyBorder="1" applyAlignment="1" applyProtection="1">
      <alignment vertical="center"/>
      <protection hidden="1"/>
    </xf>
    <xf numFmtId="0" fontId="9" fillId="2" borderId="5" xfId="0" applyFont="1" applyFill="1" applyBorder="1" applyAlignment="1" applyProtection="1">
      <alignment vertical="center"/>
      <protection hidden="1"/>
    </xf>
    <xf numFmtId="0" fontId="9" fillId="2" borderId="6" xfId="0" applyFont="1" applyFill="1" applyBorder="1" applyAlignment="1" applyProtection="1">
      <alignment vertical="center"/>
      <protection hidden="1"/>
    </xf>
    <xf numFmtId="0" fontId="9" fillId="2" borderId="0" xfId="0" applyFont="1" applyFill="1" applyAlignment="1" applyProtection="1">
      <alignment vertical="center"/>
      <protection hidden="1"/>
    </xf>
    <xf numFmtId="0" fontId="3" fillId="2" borderId="5" xfId="0" applyFont="1" applyFill="1" applyBorder="1" applyAlignment="1" applyProtection="1">
      <alignment vertical="center"/>
      <protection hidden="1"/>
    </xf>
    <xf numFmtId="0" fontId="3" fillId="2" borderId="6" xfId="0" applyFont="1" applyFill="1" applyBorder="1" applyAlignment="1" applyProtection="1">
      <alignment vertical="center"/>
      <protection hidden="1"/>
    </xf>
    <xf numFmtId="0" fontId="3" fillId="2" borderId="7" xfId="0" applyFont="1" applyFill="1" applyBorder="1" applyAlignment="1" applyProtection="1">
      <alignment vertical="center"/>
      <protection hidden="1"/>
    </xf>
    <xf numFmtId="0" fontId="3" fillId="2" borderId="8" xfId="0" applyFont="1" applyFill="1" applyBorder="1" applyAlignment="1" applyProtection="1">
      <alignment vertical="center"/>
      <protection hidden="1"/>
    </xf>
    <xf numFmtId="0" fontId="3" fillId="2" borderId="8" xfId="0" applyFont="1" applyFill="1" applyBorder="1" applyAlignment="1" applyProtection="1">
      <alignment horizontal="right" vertical="center"/>
      <protection hidden="1"/>
    </xf>
    <xf numFmtId="0" fontId="3" fillId="2" borderId="9" xfId="0" applyFont="1" applyFill="1" applyBorder="1" applyAlignment="1" applyProtection="1">
      <alignment vertical="center"/>
      <protection hidden="1"/>
    </xf>
    <xf numFmtId="0" fontId="6"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3" fillId="3" borderId="0" xfId="0" applyFont="1" applyFill="1" applyAlignment="1" applyProtection="1">
      <alignment horizontal="right" vertical="center"/>
      <protection hidden="1"/>
    </xf>
    <xf numFmtId="164" fontId="3" fillId="3" borderId="0" xfId="0" applyNumberFormat="1" applyFont="1" applyFill="1" applyAlignment="1" applyProtection="1">
      <alignment horizontal="right" vertical="center"/>
      <protection hidden="1"/>
    </xf>
    <xf numFmtId="0" fontId="3" fillId="2" borderId="10" xfId="0" applyFont="1" applyFill="1" applyBorder="1" applyAlignment="1" applyProtection="1">
      <alignment vertical="center"/>
      <protection hidden="1"/>
    </xf>
    <xf numFmtId="0" fontId="6" fillId="2" borderId="0" xfId="0" applyFont="1" applyFill="1" applyAlignment="1" applyProtection="1">
      <alignment horizontal="right" vertical="center"/>
      <protection hidden="1"/>
    </xf>
    <xf numFmtId="0" fontId="15" fillId="2" borderId="0" xfId="0" applyFont="1" applyFill="1" applyAlignment="1" applyProtection="1">
      <alignment vertical="center"/>
      <protection hidden="1"/>
    </xf>
    <xf numFmtId="0" fontId="3" fillId="3" borderId="6" xfId="0" applyFont="1" applyFill="1" applyBorder="1" applyAlignment="1" applyProtection="1">
      <alignment vertical="center"/>
      <protection hidden="1"/>
    </xf>
    <xf numFmtId="0" fontId="3" fillId="2" borderId="0" xfId="0" applyFont="1" applyFill="1" applyAlignment="1" applyProtection="1">
      <alignment horizontal="left" vertical="center"/>
      <protection hidden="1"/>
    </xf>
    <xf numFmtId="0" fontId="9" fillId="2" borderId="0" xfId="0" applyFont="1" applyFill="1" applyProtection="1">
      <protection hidden="1"/>
    </xf>
    <xf numFmtId="0" fontId="16" fillId="3" borderId="0" xfId="0" applyFont="1" applyFill="1" applyAlignment="1" applyProtection="1">
      <alignment vertical="top" wrapText="1"/>
      <protection hidden="1"/>
    </xf>
    <xf numFmtId="0" fontId="10" fillId="0" borderId="0" xfId="0" applyFont="1"/>
    <xf numFmtId="0" fontId="9" fillId="3" borderId="0" xfId="0" applyFont="1" applyFill="1" applyAlignment="1" applyProtection="1">
      <alignment vertical="center"/>
      <protection hidden="1"/>
    </xf>
    <xf numFmtId="164" fontId="6" fillId="3" borderId="0" xfId="0" applyNumberFormat="1" applyFont="1" applyFill="1" applyAlignment="1" applyProtection="1">
      <alignment horizontal="right" vertical="center"/>
      <protection hidden="1"/>
    </xf>
    <xf numFmtId="165" fontId="6" fillId="3" borderId="0" xfId="0" applyNumberFormat="1" applyFont="1" applyFill="1" applyAlignment="1" applyProtection="1">
      <alignment horizontal="right" vertical="center"/>
      <protection hidden="1"/>
    </xf>
    <xf numFmtId="0" fontId="3" fillId="2" borderId="12" xfId="0" applyFont="1" applyFill="1" applyBorder="1" applyAlignment="1" applyProtection="1">
      <alignment vertical="center"/>
      <protection hidden="1"/>
    </xf>
    <xf numFmtId="0" fontId="3" fillId="2" borderId="13" xfId="0" applyFont="1" applyFill="1" applyBorder="1" applyAlignment="1" applyProtection="1">
      <alignment vertical="center"/>
      <protection hidden="1"/>
    </xf>
    <xf numFmtId="0" fontId="3" fillId="2" borderId="14" xfId="0" applyFont="1" applyFill="1" applyBorder="1" applyAlignment="1" applyProtection="1">
      <alignment vertical="center"/>
      <protection hidden="1"/>
    </xf>
    <xf numFmtId="0" fontId="3" fillId="2" borderId="17" xfId="0" applyFont="1" applyFill="1" applyBorder="1" applyAlignment="1" applyProtection="1">
      <alignment vertical="center"/>
      <protection hidden="1"/>
    </xf>
    <xf numFmtId="0" fontId="3" fillId="2" borderId="1" xfId="0" applyFont="1" applyFill="1" applyBorder="1" applyAlignment="1" applyProtection="1">
      <alignment vertical="center"/>
      <protection hidden="1"/>
    </xf>
    <xf numFmtId="0" fontId="3" fillId="2" borderId="15" xfId="0" applyFont="1" applyFill="1" applyBorder="1" applyAlignment="1" applyProtection="1">
      <alignment vertical="center"/>
      <protection hidden="1"/>
    </xf>
    <xf numFmtId="0" fontId="3" fillId="2" borderId="16" xfId="0" applyFont="1" applyFill="1" applyBorder="1" applyAlignment="1" applyProtection="1">
      <alignment vertical="center"/>
      <protection hidden="1"/>
    </xf>
    <xf numFmtId="164" fontId="6" fillId="3" borderId="0" xfId="0" applyNumberFormat="1" applyFont="1" applyFill="1" applyAlignment="1" applyProtection="1">
      <alignment vertical="center"/>
      <protection hidden="1"/>
    </xf>
    <xf numFmtId="0" fontId="7" fillId="2" borderId="13" xfId="0" applyFont="1" applyFill="1" applyBorder="1" applyAlignment="1" applyProtection="1">
      <alignment vertical="center"/>
      <protection hidden="1"/>
    </xf>
    <xf numFmtId="0" fontId="16" fillId="3" borderId="1" xfId="0" applyFont="1" applyFill="1" applyBorder="1" applyAlignment="1" applyProtection="1">
      <alignment vertical="top" wrapText="1"/>
      <protection hidden="1"/>
    </xf>
    <xf numFmtId="0" fontId="9" fillId="2" borderId="1" xfId="0" applyFont="1" applyFill="1" applyBorder="1" applyProtection="1">
      <protection hidden="1"/>
    </xf>
    <xf numFmtId="0" fontId="3" fillId="3" borderId="1" xfId="0" applyFont="1" applyFill="1" applyBorder="1" applyAlignment="1" applyProtection="1">
      <alignment horizontal="left" vertical="center"/>
      <protection hidden="1"/>
    </xf>
    <xf numFmtId="0" fontId="3" fillId="2" borderId="18" xfId="0" applyFont="1" applyFill="1" applyBorder="1" applyAlignment="1" applyProtection="1">
      <alignment vertical="center"/>
      <protection hidden="1"/>
    </xf>
    <xf numFmtId="164" fontId="6" fillId="2" borderId="13" xfId="0" applyNumberFormat="1" applyFont="1" applyFill="1" applyBorder="1" applyAlignment="1" applyProtection="1">
      <alignment vertical="center"/>
      <protection hidden="1"/>
    </xf>
    <xf numFmtId="0" fontId="9" fillId="3" borderId="5" xfId="0" applyFont="1" applyFill="1" applyBorder="1" applyAlignment="1" applyProtection="1">
      <alignment vertical="center"/>
      <protection hidden="1"/>
    </xf>
    <xf numFmtId="0" fontId="10" fillId="2" borderId="0" xfId="0" applyFont="1" applyFill="1" applyAlignment="1" applyProtection="1">
      <alignment vertical="center"/>
      <protection hidden="1"/>
    </xf>
    <xf numFmtId="0" fontId="3" fillId="2" borderId="2" xfId="0" applyFont="1" applyFill="1" applyBorder="1" applyAlignment="1" applyProtection="1">
      <alignment vertical="center"/>
      <protection locked="0"/>
    </xf>
    <xf numFmtId="0" fontId="3" fillId="2" borderId="3" xfId="0" applyFont="1" applyFill="1" applyBorder="1" applyAlignment="1" applyProtection="1">
      <alignment vertical="center"/>
      <protection locked="0"/>
    </xf>
    <xf numFmtId="0" fontId="3" fillId="2" borderId="19" xfId="0" applyFont="1" applyFill="1" applyBorder="1" applyAlignment="1" applyProtection="1">
      <alignment vertical="center"/>
      <protection locked="0"/>
    </xf>
    <xf numFmtId="0" fontId="3" fillId="2" borderId="5" xfId="0" applyFont="1" applyFill="1" applyBorder="1" applyAlignment="1" applyProtection="1">
      <alignment vertical="center"/>
      <protection locked="0"/>
    </xf>
    <xf numFmtId="0" fontId="3" fillId="2" borderId="0" xfId="2" applyFont="1" applyFill="1" applyAlignment="1" applyProtection="1">
      <alignment vertical="center"/>
      <protection hidden="1"/>
    </xf>
    <xf numFmtId="0" fontId="3" fillId="2" borderId="3" xfId="2" applyFont="1" applyFill="1" applyBorder="1" applyAlignment="1" applyProtection="1">
      <alignment vertical="center"/>
      <protection hidden="1"/>
    </xf>
    <xf numFmtId="0" fontId="3" fillId="2" borderId="5" xfId="2" applyFont="1" applyFill="1" applyBorder="1" applyAlignment="1" applyProtection="1">
      <alignment vertical="center"/>
      <protection locked="0" hidden="1"/>
    </xf>
    <xf numFmtId="0" fontId="3" fillId="2" borderId="0" xfId="2" applyFont="1" applyFill="1" applyAlignment="1" applyProtection="1">
      <alignment vertical="center"/>
      <protection locked="0" hidden="1"/>
    </xf>
    <xf numFmtId="0" fontId="6" fillId="2" borderId="0" xfId="2" quotePrefix="1" applyFont="1" applyFill="1" applyAlignment="1" applyProtection="1">
      <alignment vertical="center"/>
      <protection locked="0" hidden="1"/>
    </xf>
    <xf numFmtId="0" fontId="3" fillId="2" borderId="0" xfId="2" applyFont="1" applyFill="1" applyAlignment="1" applyProtection="1">
      <alignment horizontal="right" vertical="center"/>
      <protection hidden="1"/>
    </xf>
    <xf numFmtId="0" fontId="3" fillId="2" borderId="8" xfId="2" applyFont="1" applyFill="1" applyBorder="1" applyAlignment="1" applyProtection="1">
      <alignment vertical="center"/>
      <protection hidden="1"/>
    </xf>
    <xf numFmtId="0" fontId="3" fillId="2" borderId="8" xfId="2" applyFont="1" applyFill="1" applyBorder="1" applyAlignment="1" applyProtection="1">
      <alignment horizontal="right" vertical="center"/>
      <protection hidden="1"/>
    </xf>
    <xf numFmtId="0" fontId="3" fillId="2" borderId="18" xfId="2" applyFont="1" applyFill="1" applyBorder="1" applyAlignment="1" applyProtection="1">
      <alignment vertical="center"/>
      <protection hidden="1"/>
    </xf>
    <xf numFmtId="0" fontId="3" fillId="2" borderId="5" xfId="2" applyFont="1" applyFill="1" applyBorder="1" applyAlignment="1" applyProtection="1">
      <alignment vertical="center"/>
      <protection hidden="1"/>
    </xf>
    <xf numFmtId="0" fontId="3" fillId="0" borderId="0" xfId="2" applyFont="1" applyAlignment="1" applyProtection="1">
      <alignment vertical="center"/>
      <protection hidden="1"/>
    </xf>
    <xf numFmtId="0" fontId="3" fillId="2" borderId="6" xfId="2" applyFont="1" applyFill="1" applyBorder="1" applyAlignment="1" applyProtection="1">
      <alignment vertical="center"/>
      <protection hidden="1"/>
    </xf>
    <xf numFmtId="0" fontId="7" fillId="2" borderId="12" xfId="2" applyFont="1" applyFill="1" applyBorder="1" applyAlignment="1" applyProtection="1">
      <alignment vertical="center"/>
      <protection hidden="1"/>
    </xf>
    <xf numFmtId="0" fontId="3" fillId="0" borderId="13" xfId="2" applyFont="1" applyBorder="1" applyAlignment="1" applyProtection="1">
      <alignment horizontal="right" vertical="center"/>
      <protection hidden="1"/>
    </xf>
    <xf numFmtId="173" fontId="3" fillId="0" borderId="13" xfId="2" applyNumberFormat="1" applyFont="1" applyBorder="1" applyAlignment="1" applyProtection="1">
      <alignment vertical="center"/>
      <protection hidden="1"/>
    </xf>
    <xf numFmtId="0" fontId="3" fillId="0" borderId="13" xfId="2" applyFont="1" applyBorder="1" applyAlignment="1" applyProtection="1">
      <alignment vertical="center"/>
      <protection hidden="1"/>
    </xf>
    <xf numFmtId="49" fontId="3" fillId="0" borderId="13" xfId="2" applyNumberFormat="1" applyFont="1" applyBorder="1" applyAlignment="1" applyProtection="1">
      <alignment vertical="center"/>
      <protection hidden="1"/>
    </xf>
    <xf numFmtId="0" fontId="6" fillId="0" borderId="13" xfId="2" applyFont="1" applyBorder="1" applyAlignment="1" applyProtection="1">
      <alignment vertical="center"/>
      <protection hidden="1"/>
    </xf>
    <xf numFmtId="0" fontId="17" fillId="0" borderId="13" xfId="2" applyBorder="1" applyProtection="1">
      <protection hidden="1"/>
    </xf>
    <xf numFmtId="0" fontId="3" fillId="0" borderId="14" xfId="2" applyFont="1" applyBorder="1" applyAlignment="1" applyProtection="1">
      <alignment vertical="center"/>
      <protection hidden="1"/>
    </xf>
    <xf numFmtId="0" fontId="9" fillId="2" borderId="5" xfId="2" applyFont="1" applyFill="1" applyBorder="1" applyAlignment="1" applyProtection="1">
      <alignment vertical="center"/>
      <protection hidden="1"/>
    </xf>
    <xf numFmtId="0" fontId="9" fillId="0" borderId="0" xfId="2" applyFont="1" applyAlignment="1" applyProtection="1">
      <alignment vertical="center"/>
      <protection hidden="1"/>
    </xf>
    <xf numFmtId="0" fontId="9" fillId="0" borderId="17" xfId="2" applyFont="1" applyBorder="1" applyAlignment="1" applyProtection="1">
      <alignment vertical="center"/>
      <protection hidden="1"/>
    </xf>
    <xf numFmtId="0" fontId="9" fillId="0" borderId="0" xfId="2" applyFont="1" applyAlignment="1" applyProtection="1">
      <alignment horizontal="right" vertical="center"/>
      <protection hidden="1"/>
    </xf>
    <xf numFmtId="0" fontId="9" fillId="0" borderId="1" xfId="2" applyFont="1" applyBorder="1" applyAlignment="1" applyProtection="1">
      <alignment vertical="center"/>
      <protection hidden="1"/>
    </xf>
    <xf numFmtId="0" fontId="9" fillId="2" borderId="6" xfId="2" applyFont="1" applyFill="1" applyBorder="1" applyAlignment="1" applyProtection="1">
      <alignment vertical="center"/>
      <protection hidden="1"/>
    </xf>
    <xf numFmtId="0" fontId="9" fillId="2" borderId="0" xfId="2" applyFont="1" applyFill="1" applyAlignment="1" applyProtection="1">
      <alignment vertical="center"/>
      <protection hidden="1"/>
    </xf>
    <xf numFmtId="0" fontId="3" fillId="0" borderId="17" xfId="2" applyFont="1" applyBorder="1" applyAlignment="1" applyProtection="1">
      <alignment horizontal="left" vertical="center"/>
      <protection hidden="1"/>
    </xf>
    <xf numFmtId="0" fontId="24" fillId="0" borderId="11" xfId="2" applyFont="1" applyBorder="1" applyAlignment="1" applyProtection="1">
      <alignment horizontal="center" vertical="center"/>
      <protection hidden="1"/>
    </xf>
    <xf numFmtId="0" fontId="3" fillId="0" borderId="10" xfId="2" applyFont="1" applyBorder="1" applyAlignment="1" applyProtection="1">
      <alignment vertical="center"/>
      <protection hidden="1"/>
    </xf>
    <xf numFmtId="0" fontId="3" fillId="0" borderId="0" xfId="2" applyFont="1" applyAlignment="1" applyProtection="1">
      <alignment horizontal="left" vertical="center"/>
      <protection hidden="1"/>
    </xf>
    <xf numFmtId="0" fontId="3" fillId="0" borderId="0" xfId="2" applyFont="1" applyAlignment="1" applyProtection="1">
      <alignment horizontal="right" vertical="center"/>
      <protection hidden="1"/>
    </xf>
    <xf numFmtId="0" fontId="3" fillId="0" borderId="1" xfId="2" applyFont="1" applyBorder="1" applyAlignment="1" applyProtection="1">
      <alignment vertical="center"/>
      <protection hidden="1"/>
    </xf>
    <xf numFmtId="0" fontId="3" fillId="0" borderId="21" xfId="2" applyFont="1" applyBorder="1" applyAlignment="1" applyProtection="1">
      <alignment horizontal="left" vertical="center"/>
      <protection hidden="1"/>
    </xf>
    <xf numFmtId="0" fontId="3" fillId="0" borderId="15" xfId="2" applyFont="1" applyBorder="1" applyAlignment="1" applyProtection="1">
      <alignment vertical="center"/>
      <protection hidden="1"/>
    </xf>
    <xf numFmtId="0" fontId="3" fillId="0" borderId="10" xfId="2" applyFont="1" applyBorder="1" applyAlignment="1" applyProtection="1">
      <alignment horizontal="right" vertical="center"/>
      <protection hidden="1"/>
    </xf>
    <xf numFmtId="0" fontId="3" fillId="0" borderId="16" xfId="2" applyFont="1" applyBorder="1" applyAlignment="1" applyProtection="1">
      <alignment vertical="center"/>
      <protection hidden="1"/>
    </xf>
    <xf numFmtId="167" fontId="3" fillId="0" borderId="13" xfId="2" applyNumberFormat="1" applyFont="1" applyBorder="1" applyAlignment="1" applyProtection="1">
      <alignment vertical="center"/>
      <protection hidden="1"/>
    </xf>
    <xf numFmtId="0" fontId="6" fillId="0" borderId="13" xfId="2" applyFont="1" applyBorder="1" applyAlignment="1" applyProtection="1">
      <alignment horizontal="right" vertical="center"/>
      <protection hidden="1"/>
    </xf>
    <xf numFmtId="176" fontId="3" fillId="0" borderId="13" xfId="2" applyNumberFormat="1" applyFont="1" applyBorder="1" applyAlignment="1" applyProtection="1">
      <alignment vertical="center"/>
      <protection hidden="1"/>
    </xf>
    <xf numFmtId="0" fontId="3" fillId="0" borderId="17" xfId="2" applyFont="1" applyBorder="1" applyAlignment="1" applyProtection="1">
      <alignment vertical="center"/>
      <protection hidden="1"/>
    </xf>
    <xf numFmtId="0" fontId="9" fillId="3" borderId="5" xfId="2" applyFont="1" applyFill="1" applyBorder="1" applyAlignment="1" applyProtection="1">
      <alignment vertical="center"/>
      <protection hidden="1"/>
    </xf>
    <xf numFmtId="0" fontId="6" fillId="3" borderId="6" xfId="2" applyFont="1" applyFill="1" applyBorder="1" applyAlignment="1" applyProtection="1">
      <alignment vertical="center"/>
      <protection hidden="1"/>
    </xf>
    <xf numFmtId="0" fontId="17" fillId="2" borderId="0" xfId="2" applyFill="1" applyProtection="1">
      <protection hidden="1"/>
    </xf>
    <xf numFmtId="49" fontId="3" fillId="3" borderId="6" xfId="2" applyNumberFormat="1" applyFont="1" applyFill="1" applyBorder="1" applyAlignment="1" applyProtection="1">
      <alignment vertical="center"/>
      <protection hidden="1"/>
    </xf>
    <xf numFmtId="0" fontId="3" fillId="3" borderId="6" xfId="2" applyFont="1" applyFill="1" applyBorder="1" applyAlignment="1" applyProtection="1">
      <alignment vertical="center"/>
      <protection hidden="1"/>
    </xf>
    <xf numFmtId="0" fontId="3" fillId="0" borderId="10" xfId="2" applyFont="1" applyBorder="1" applyAlignment="1" applyProtection="1">
      <alignment horizontal="left" vertical="center"/>
      <protection hidden="1"/>
    </xf>
    <xf numFmtId="0" fontId="3" fillId="0" borderId="12" xfId="2" applyFont="1" applyBorder="1" applyAlignment="1" applyProtection="1">
      <alignment vertical="center"/>
      <protection hidden="1"/>
    </xf>
    <xf numFmtId="0" fontId="3" fillId="2" borderId="7" xfId="2" applyFont="1" applyFill="1" applyBorder="1" applyAlignment="1" applyProtection="1">
      <alignment vertical="center"/>
      <protection hidden="1"/>
    </xf>
    <xf numFmtId="0" fontId="3" fillId="2" borderId="9" xfId="2" applyFont="1" applyFill="1" applyBorder="1" applyAlignment="1" applyProtection="1">
      <alignment vertical="center"/>
      <protection hidden="1"/>
    </xf>
    <xf numFmtId="0" fontId="17" fillId="3" borderId="0" xfId="2" applyFill="1" applyProtection="1">
      <protection hidden="1"/>
    </xf>
    <xf numFmtId="0" fontId="17" fillId="3" borderId="10" xfId="2" applyFill="1" applyBorder="1" applyProtection="1">
      <protection hidden="1"/>
    </xf>
    <xf numFmtId="0" fontId="25" fillId="3" borderId="10" xfId="2" applyFont="1" applyFill="1" applyBorder="1" applyProtection="1">
      <protection hidden="1"/>
    </xf>
    <xf numFmtId="0" fontId="25" fillId="3" borderId="16" xfId="2" applyFont="1" applyFill="1" applyBorder="1" applyProtection="1">
      <protection hidden="1"/>
    </xf>
    <xf numFmtId="0" fontId="25" fillId="3" borderId="0" xfId="2" applyFont="1" applyFill="1" applyProtection="1">
      <protection hidden="1"/>
    </xf>
    <xf numFmtId="0" fontId="25" fillId="3" borderId="1" xfId="2" applyFont="1" applyFill="1" applyBorder="1" applyProtection="1">
      <protection hidden="1"/>
    </xf>
    <xf numFmtId="0" fontId="27" fillId="3" borderId="17" xfId="2" applyFont="1" applyFill="1" applyBorder="1" applyProtection="1">
      <protection hidden="1"/>
    </xf>
    <xf numFmtId="0" fontId="27" fillId="3" borderId="0" xfId="2" applyFont="1" applyFill="1" applyProtection="1">
      <protection hidden="1"/>
    </xf>
    <xf numFmtId="0" fontId="28" fillId="3" borderId="0" xfId="2" applyFont="1" applyFill="1" applyProtection="1">
      <protection hidden="1"/>
    </xf>
    <xf numFmtId="0" fontId="28" fillId="3" borderId="22" xfId="2" applyFont="1" applyFill="1" applyBorder="1" applyProtection="1">
      <protection hidden="1"/>
    </xf>
    <xf numFmtId="0" fontId="28" fillId="3" borderId="23" xfId="2" applyFont="1" applyFill="1" applyBorder="1" applyProtection="1">
      <protection hidden="1"/>
    </xf>
    <xf numFmtId="0" fontId="28" fillId="3" borderId="24" xfId="2" applyFont="1" applyFill="1" applyBorder="1" applyProtection="1">
      <protection hidden="1"/>
    </xf>
    <xf numFmtId="0" fontId="28" fillId="3" borderId="0" xfId="2" applyFont="1" applyFill="1" applyAlignment="1" applyProtection="1">
      <alignment horizontal="left"/>
      <protection locked="0" hidden="1"/>
    </xf>
    <xf numFmtId="178" fontId="28" fillId="3" borderId="0" xfId="2" applyNumberFormat="1" applyFont="1" applyFill="1" applyProtection="1">
      <protection hidden="1"/>
    </xf>
    <xf numFmtId="0" fontId="29" fillId="3" borderId="0" xfId="2" applyFont="1" applyFill="1" applyProtection="1">
      <protection hidden="1"/>
    </xf>
    <xf numFmtId="14" fontId="3" fillId="3" borderId="0" xfId="0" applyNumberFormat="1" applyFont="1" applyFill="1" applyAlignment="1" applyProtection="1">
      <alignment horizontal="center" vertical="center"/>
      <protection hidden="1"/>
    </xf>
    <xf numFmtId="0" fontId="3" fillId="3" borderId="5" xfId="0" applyFont="1" applyFill="1" applyBorder="1" applyAlignment="1" applyProtection="1">
      <alignment vertical="center"/>
      <protection hidden="1"/>
    </xf>
    <xf numFmtId="14" fontId="6" fillId="3" borderId="0" xfId="0" applyNumberFormat="1" applyFont="1" applyFill="1" applyAlignment="1" applyProtection="1">
      <alignment horizontal="center" vertical="center"/>
      <protection hidden="1"/>
    </xf>
    <xf numFmtId="164" fontId="9" fillId="3" borderId="0" xfId="0" applyNumberFormat="1" applyFont="1" applyFill="1" applyAlignment="1" applyProtection="1">
      <alignment horizontal="right" vertical="center"/>
      <protection hidden="1"/>
    </xf>
    <xf numFmtId="0" fontId="9" fillId="3" borderId="0" xfId="0" applyFont="1" applyFill="1" applyAlignment="1" applyProtection="1">
      <alignment horizontal="right" vertical="center"/>
      <protection hidden="1"/>
    </xf>
    <xf numFmtId="14" fontId="11" fillId="3" borderId="0" xfId="0" applyNumberFormat="1" applyFont="1" applyFill="1" applyAlignment="1" applyProtection="1">
      <alignment horizontal="center" vertical="center"/>
      <protection hidden="1"/>
    </xf>
    <xf numFmtId="0" fontId="11" fillId="3" borderId="0" xfId="0" applyFont="1" applyFill="1" applyAlignment="1" applyProtection="1">
      <alignment vertical="center"/>
      <protection hidden="1"/>
    </xf>
    <xf numFmtId="164" fontId="11" fillId="3" borderId="0" xfId="0" applyNumberFormat="1" applyFont="1" applyFill="1" applyAlignment="1" applyProtection="1">
      <alignment horizontal="right" vertical="center"/>
      <protection hidden="1"/>
    </xf>
    <xf numFmtId="0" fontId="11" fillId="3" borderId="0" xfId="0" applyFont="1" applyFill="1" applyAlignment="1" applyProtection="1">
      <alignment horizontal="right" vertical="center"/>
      <protection hidden="1"/>
    </xf>
    <xf numFmtId="14" fontId="9" fillId="3" borderId="0" xfId="0" applyNumberFormat="1" applyFont="1" applyFill="1" applyAlignment="1" applyProtection="1">
      <alignment horizontal="center" vertical="center"/>
      <protection hidden="1"/>
    </xf>
    <xf numFmtId="180" fontId="6" fillId="3" borderId="0" xfId="0" applyNumberFormat="1" applyFont="1" applyFill="1" applyAlignment="1" applyProtection="1">
      <alignment horizontal="right" vertical="center"/>
      <protection hidden="1"/>
    </xf>
    <xf numFmtId="0" fontId="6" fillId="3" borderId="0" xfId="0" applyFont="1" applyFill="1" applyAlignment="1" applyProtection="1">
      <alignment horizontal="right" vertical="center"/>
      <protection hidden="1"/>
    </xf>
    <xf numFmtId="0" fontId="9" fillId="3" borderId="0" xfId="0" applyFont="1" applyFill="1" applyAlignment="1" applyProtection="1">
      <alignment horizontal="left" vertical="center"/>
      <protection hidden="1"/>
    </xf>
    <xf numFmtId="0" fontId="11" fillId="3" borderId="0" xfId="0" applyFont="1" applyFill="1" applyAlignment="1" applyProtection="1">
      <alignment horizontal="center" vertical="center"/>
      <protection hidden="1"/>
    </xf>
    <xf numFmtId="0" fontId="0" fillId="3" borderId="0" xfId="0" applyFill="1" applyProtection="1">
      <protection hidden="1"/>
    </xf>
    <xf numFmtId="0" fontId="9" fillId="3" borderId="6" xfId="0" applyFont="1" applyFill="1" applyBorder="1" applyAlignment="1" applyProtection="1">
      <alignment vertical="center"/>
      <protection hidden="1"/>
    </xf>
    <xf numFmtId="2" fontId="3" fillId="2" borderId="0" xfId="0" applyNumberFormat="1" applyFont="1" applyFill="1" applyAlignment="1" applyProtection="1">
      <alignment vertical="center"/>
      <protection hidden="1"/>
    </xf>
    <xf numFmtId="0" fontId="3" fillId="2" borderId="3" xfId="0" applyFont="1" applyFill="1" applyBorder="1" applyAlignment="1" applyProtection="1">
      <alignment vertical="center"/>
      <protection locked="0" hidden="1"/>
    </xf>
    <xf numFmtId="0" fontId="3" fillId="2" borderId="8" xfId="0" applyFont="1" applyFill="1" applyBorder="1" applyAlignment="1" applyProtection="1">
      <alignment vertical="center"/>
      <protection locked="0" hidden="1"/>
    </xf>
    <xf numFmtId="0" fontId="3" fillId="3" borderId="0" xfId="0" applyFont="1" applyFill="1" applyAlignment="1" applyProtection="1">
      <alignment horizontal="left" vertical="center"/>
      <protection hidden="1"/>
    </xf>
    <xf numFmtId="0" fontId="3" fillId="2" borderId="2" xfId="0" applyFont="1" applyFill="1" applyBorder="1" applyAlignment="1" applyProtection="1">
      <alignment vertical="center"/>
      <protection locked="0" hidden="1"/>
    </xf>
    <xf numFmtId="0" fontId="3" fillId="2" borderId="7" xfId="0" applyFont="1" applyFill="1" applyBorder="1" applyAlignment="1" applyProtection="1">
      <alignment vertical="center"/>
      <protection locked="0" hidden="1"/>
    </xf>
    <xf numFmtId="0" fontId="3" fillId="2" borderId="27" xfId="0" applyFont="1" applyFill="1" applyBorder="1" applyAlignment="1" applyProtection="1">
      <alignment vertical="center"/>
      <protection hidden="1"/>
    </xf>
    <xf numFmtId="0" fontId="3" fillId="2" borderId="19" xfId="0" applyFont="1" applyFill="1" applyBorder="1" applyAlignment="1" applyProtection="1">
      <alignment vertical="center"/>
      <protection locked="0" hidden="1"/>
    </xf>
    <xf numFmtId="0" fontId="3" fillId="2" borderId="20" xfId="0" applyFont="1" applyFill="1" applyBorder="1" applyAlignment="1" applyProtection="1">
      <alignment vertical="center"/>
      <protection locked="0" hidden="1"/>
    </xf>
    <xf numFmtId="0" fontId="6" fillId="3" borderId="0" xfId="0" applyFont="1" applyFill="1" applyAlignment="1" applyProtection="1">
      <alignment horizontal="left" vertical="center"/>
      <protection hidden="1"/>
    </xf>
    <xf numFmtId="179" fontId="6" fillId="3" borderId="0" xfId="0" applyNumberFormat="1" applyFont="1" applyFill="1" applyAlignment="1" applyProtection="1">
      <alignment horizontal="right" vertical="center"/>
      <protection hidden="1"/>
    </xf>
    <xf numFmtId="181" fontId="6" fillId="3" borderId="0" xfId="0" applyNumberFormat="1" applyFont="1" applyFill="1" applyAlignment="1" applyProtection="1">
      <alignment horizontal="right" vertical="center"/>
      <protection hidden="1"/>
    </xf>
    <xf numFmtId="173" fontId="6" fillId="3" borderId="0" xfId="0" applyNumberFormat="1" applyFont="1" applyFill="1" applyAlignment="1" applyProtection="1">
      <alignment horizontal="right" vertical="center"/>
      <protection hidden="1"/>
    </xf>
    <xf numFmtId="179" fontId="11" fillId="3" borderId="0" xfId="0" applyNumberFormat="1" applyFont="1" applyFill="1" applyAlignment="1" applyProtection="1">
      <alignment vertical="center"/>
      <protection hidden="1"/>
    </xf>
    <xf numFmtId="0" fontId="4" fillId="2" borderId="3" xfId="0" quotePrefix="1" applyFont="1" applyFill="1" applyBorder="1" applyAlignment="1" applyProtection="1">
      <alignment vertical="center"/>
      <protection locked="0" hidden="1"/>
    </xf>
    <xf numFmtId="164" fontId="30" fillId="3" borderId="0" xfId="0" applyNumberFormat="1" applyFont="1" applyFill="1" applyAlignment="1" applyProtection="1">
      <alignment vertical="center"/>
      <protection hidden="1"/>
    </xf>
    <xf numFmtId="0" fontId="3" fillId="0" borderId="0" xfId="2" applyFont="1" applyAlignment="1" applyProtection="1">
      <alignment horizontal="center" vertical="center"/>
      <protection hidden="1"/>
    </xf>
    <xf numFmtId="0" fontId="3" fillId="0" borderId="13" xfId="2" applyFont="1" applyBorder="1" applyAlignment="1" applyProtection="1">
      <alignment horizontal="center" vertical="center"/>
      <protection hidden="1"/>
    </xf>
    <xf numFmtId="164" fontId="14" fillId="0" borderId="0" xfId="2" applyNumberFormat="1" applyFont="1" applyAlignment="1" applyProtection="1">
      <alignment vertical="center"/>
      <protection hidden="1"/>
    </xf>
    <xf numFmtId="2" fontId="3" fillId="0" borderId="0" xfId="2" applyNumberFormat="1" applyFont="1" applyAlignment="1" applyProtection="1">
      <alignment horizontal="left" vertical="center"/>
      <protection hidden="1"/>
    </xf>
    <xf numFmtId="2" fontId="3" fillId="0" borderId="0" xfId="2" applyNumberFormat="1" applyFont="1" applyAlignment="1" applyProtection="1">
      <alignment horizontal="center" vertical="center"/>
      <protection hidden="1"/>
    </xf>
    <xf numFmtId="0" fontId="7" fillId="2" borderId="12" xfId="0" applyFont="1" applyFill="1" applyBorder="1" applyAlignment="1" applyProtection="1">
      <alignment vertical="center"/>
      <protection hidden="1"/>
    </xf>
    <xf numFmtId="2" fontId="10" fillId="0" borderId="0" xfId="0" applyNumberFormat="1" applyFont="1" applyAlignment="1" applyProtection="1">
      <alignment vertical="center"/>
      <protection hidden="1"/>
    </xf>
    <xf numFmtId="0" fontId="10" fillId="0" borderId="0" xfId="0" applyFont="1" applyAlignment="1" applyProtection="1">
      <alignment vertical="center"/>
      <protection hidden="1"/>
    </xf>
    <xf numFmtId="164" fontId="10" fillId="0" borderId="0" xfId="0" applyNumberFormat="1" applyFont="1" applyAlignment="1" applyProtection="1">
      <alignment vertical="center"/>
      <protection hidden="1"/>
    </xf>
    <xf numFmtId="2" fontId="3" fillId="0" borderId="0" xfId="0" applyNumberFormat="1" applyFont="1" applyAlignment="1" applyProtection="1">
      <alignment vertical="center"/>
      <protection hidden="1"/>
    </xf>
    <xf numFmtId="0" fontId="3" fillId="0" borderId="0" xfId="0" applyFont="1" applyAlignment="1" applyProtection="1">
      <alignment vertical="center"/>
      <protection hidden="1"/>
    </xf>
    <xf numFmtId="164" fontId="14" fillId="0" borderId="0" xfId="0" applyNumberFormat="1" applyFont="1" applyAlignment="1" applyProtection="1">
      <alignment vertical="center"/>
      <protection hidden="1"/>
    </xf>
    <xf numFmtId="164" fontId="14" fillId="0" borderId="0" xfId="0" applyNumberFormat="1" applyFont="1" applyAlignment="1" applyProtection="1">
      <alignment horizontal="center" vertical="center"/>
      <protection hidden="1"/>
    </xf>
    <xf numFmtId="2" fontId="3" fillId="0" borderId="0" xfId="0" applyNumberFormat="1" applyFont="1" applyAlignment="1" applyProtection="1">
      <alignment horizontal="center" vertical="center"/>
      <protection hidden="1"/>
    </xf>
    <xf numFmtId="0" fontId="10" fillId="0" borderId="0" xfId="0" applyFont="1" applyAlignment="1">
      <alignment wrapText="1"/>
    </xf>
    <xf numFmtId="0" fontId="3" fillId="0" borderId="0" xfId="0" applyFont="1" applyAlignment="1" applyProtection="1">
      <alignment horizontal="right" vertical="center"/>
      <protection hidden="1"/>
    </xf>
    <xf numFmtId="0" fontId="3" fillId="2" borderId="13" xfId="2" applyFont="1" applyFill="1" applyBorder="1" applyAlignment="1" applyProtection="1">
      <alignment vertical="center"/>
      <protection hidden="1"/>
    </xf>
    <xf numFmtId="0" fontId="6" fillId="2" borderId="0" xfId="2" applyFont="1" applyFill="1" applyAlignment="1" applyProtection="1">
      <alignment vertical="center"/>
      <protection hidden="1"/>
    </xf>
    <xf numFmtId="0" fontId="3" fillId="3" borderId="0" xfId="2" applyFont="1" applyFill="1" applyAlignment="1" applyProtection="1">
      <alignment vertical="center"/>
      <protection hidden="1"/>
    </xf>
    <xf numFmtId="0" fontId="3" fillId="3" borderId="0" xfId="2" applyFont="1" applyFill="1" applyAlignment="1" applyProtection="1">
      <alignment horizontal="right" vertical="center"/>
      <protection hidden="1"/>
    </xf>
    <xf numFmtId="0" fontId="3" fillId="2" borderId="16" xfId="2" applyFont="1" applyFill="1" applyBorder="1" applyAlignment="1" applyProtection="1">
      <alignment vertical="center"/>
      <protection hidden="1"/>
    </xf>
    <xf numFmtId="0" fontId="3" fillId="2" borderId="10" xfId="2" applyFont="1" applyFill="1" applyBorder="1" applyAlignment="1" applyProtection="1">
      <alignment vertical="center"/>
      <protection hidden="1"/>
    </xf>
    <xf numFmtId="0" fontId="3" fillId="3" borderId="10" xfId="2" applyFont="1" applyFill="1" applyBorder="1" applyAlignment="1" applyProtection="1">
      <alignment vertical="center"/>
      <protection hidden="1"/>
    </xf>
    <xf numFmtId="0" fontId="3" fillId="3" borderId="10" xfId="2" applyFont="1" applyFill="1" applyBorder="1" applyAlignment="1" applyProtection="1">
      <alignment horizontal="right" vertical="center"/>
      <protection hidden="1"/>
    </xf>
    <xf numFmtId="0" fontId="3" fillId="2" borderId="15" xfId="2" applyFont="1" applyFill="1" applyBorder="1" applyAlignment="1" applyProtection="1">
      <alignment vertical="center"/>
      <protection hidden="1"/>
    </xf>
    <xf numFmtId="0" fontId="3" fillId="2" borderId="1" xfId="2" applyFont="1" applyFill="1" applyBorder="1" applyAlignment="1" applyProtection="1">
      <alignment vertical="center"/>
      <protection hidden="1"/>
    </xf>
    <xf numFmtId="0" fontId="7" fillId="2" borderId="0" xfId="2" applyFont="1" applyFill="1" applyAlignment="1" applyProtection="1">
      <alignment vertical="center"/>
      <protection hidden="1"/>
    </xf>
    <xf numFmtId="0" fontId="3" fillId="2" borderId="17" xfId="2" applyFont="1" applyFill="1" applyBorder="1" applyAlignment="1" applyProtection="1">
      <alignment vertical="center"/>
      <protection hidden="1"/>
    </xf>
    <xf numFmtId="0" fontId="3" fillId="2" borderId="14" xfId="2" applyFont="1" applyFill="1" applyBorder="1" applyAlignment="1" applyProtection="1">
      <alignment vertical="center"/>
      <protection hidden="1"/>
    </xf>
    <xf numFmtId="0" fontId="3" fillId="2" borderId="12" xfId="2" applyFont="1" applyFill="1" applyBorder="1" applyAlignment="1" applyProtection="1">
      <alignment vertical="center"/>
      <protection hidden="1"/>
    </xf>
    <xf numFmtId="1" fontId="9" fillId="0" borderId="0" xfId="2" applyNumberFormat="1" applyFont="1" applyAlignment="1" applyProtection="1">
      <alignment horizontal="right" vertical="center"/>
      <protection hidden="1"/>
    </xf>
    <xf numFmtId="0" fontId="7" fillId="0" borderId="0" xfId="2" applyFont="1" applyAlignment="1" applyProtection="1">
      <alignment vertical="center"/>
      <protection hidden="1"/>
    </xf>
    <xf numFmtId="0" fontId="3" fillId="3" borderId="1" xfId="2" applyFont="1" applyFill="1" applyBorder="1" applyAlignment="1" applyProtection="1">
      <alignment horizontal="left" vertical="center"/>
      <protection hidden="1"/>
    </xf>
    <xf numFmtId="0" fontId="3" fillId="2" borderId="0" xfId="2" applyFont="1" applyFill="1" applyAlignment="1" applyProtection="1">
      <alignment horizontal="left" vertical="center"/>
      <protection hidden="1"/>
    </xf>
    <xf numFmtId="0" fontId="3" fillId="3" borderId="0" xfId="2" applyFont="1" applyFill="1" applyAlignment="1" applyProtection="1">
      <alignment horizontal="left" vertical="center"/>
      <protection hidden="1"/>
    </xf>
    <xf numFmtId="0" fontId="9" fillId="3" borderId="0" xfId="2" applyFont="1" applyFill="1" applyProtection="1">
      <protection hidden="1"/>
    </xf>
    <xf numFmtId="0" fontId="16" fillId="3" borderId="1" xfId="2" applyFont="1" applyFill="1" applyBorder="1" applyAlignment="1" applyProtection="1">
      <alignment vertical="top" wrapText="1"/>
      <protection hidden="1"/>
    </xf>
    <xf numFmtId="0" fontId="16" fillId="3" borderId="0" xfId="2" applyFont="1" applyFill="1" applyAlignment="1" applyProtection="1">
      <alignment vertical="top" wrapText="1"/>
      <protection hidden="1"/>
    </xf>
    <xf numFmtId="0" fontId="9" fillId="3" borderId="1" xfId="2" applyFont="1" applyFill="1" applyBorder="1" applyAlignment="1" applyProtection="1">
      <alignment horizontal="left"/>
      <protection hidden="1"/>
    </xf>
    <xf numFmtId="0" fontId="9" fillId="3" borderId="0" xfId="2" applyFont="1" applyFill="1" applyAlignment="1" applyProtection="1">
      <alignment horizontal="left"/>
      <protection hidden="1"/>
    </xf>
    <xf numFmtId="0" fontId="6" fillId="3" borderId="1" xfId="2" applyFont="1" applyFill="1" applyBorder="1" applyAlignment="1" applyProtection="1">
      <alignment horizontal="left" vertical="center"/>
      <protection hidden="1"/>
    </xf>
    <xf numFmtId="0" fontId="34" fillId="2" borderId="0" xfId="2" applyFont="1" applyFill="1" applyAlignment="1" applyProtection="1">
      <alignment vertical="center"/>
      <protection hidden="1"/>
    </xf>
    <xf numFmtId="49" fontId="3" fillId="3" borderId="1" xfId="2" applyNumberFormat="1" applyFont="1" applyFill="1" applyBorder="1" applyAlignment="1" applyProtection="1">
      <alignment vertical="center"/>
      <protection hidden="1"/>
    </xf>
    <xf numFmtId="0" fontId="3" fillId="2" borderId="0" xfId="2" applyFont="1" applyFill="1" applyProtection="1">
      <protection hidden="1"/>
    </xf>
    <xf numFmtId="0" fontId="6" fillId="3" borderId="1" xfId="2" applyFont="1" applyFill="1" applyBorder="1" applyAlignment="1" applyProtection="1">
      <alignment vertical="center"/>
      <protection hidden="1"/>
    </xf>
    <xf numFmtId="0" fontId="6" fillId="3" borderId="0" xfId="2" applyFont="1" applyFill="1" applyAlignment="1" applyProtection="1">
      <alignment vertical="center"/>
      <protection hidden="1"/>
    </xf>
    <xf numFmtId="0" fontId="9" fillId="3" borderId="14" xfId="2" applyFont="1" applyFill="1" applyBorder="1" applyAlignment="1" applyProtection="1">
      <alignment vertical="center"/>
      <protection hidden="1"/>
    </xf>
    <xf numFmtId="0" fontId="9" fillId="3" borderId="13" xfId="2" applyFont="1" applyFill="1" applyBorder="1" applyAlignment="1" applyProtection="1">
      <alignment vertical="center"/>
      <protection hidden="1"/>
    </xf>
    <xf numFmtId="0" fontId="9" fillId="3" borderId="12" xfId="2" applyFont="1" applyFill="1" applyBorder="1" applyAlignment="1" applyProtection="1">
      <alignment vertical="center"/>
      <protection hidden="1"/>
    </xf>
    <xf numFmtId="0" fontId="3" fillId="2" borderId="1" xfId="2" applyFont="1" applyFill="1" applyBorder="1" applyAlignment="1" applyProtection="1">
      <alignment vertical="center"/>
      <protection locked="0"/>
    </xf>
    <xf numFmtId="0" fontId="3" fillId="2" borderId="0" xfId="2" applyFont="1" applyFill="1" applyAlignment="1" applyProtection="1">
      <alignment vertical="center"/>
      <protection locked="0"/>
    </xf>
    <xf numFmtId="0" fontId="3" fillId="2" borderId="19" xfId="2" applyFont="1" applyFill="1" applyBorder="1" applyAlignment="1" applyProtection="1">
      <alignment vertical="center"/>
      <protection locked="0"/>
    </xf>
    <xf numFmtId="0" fontId="3" fillId="2" borderId="3" xfId="2" applyFont="1" applyFill="1" applyBorder="1" applyAlignment="1" applyProtection="1">
      <alignment vertical="center"/>
      <protection locked="0"/>
    </xf>
    <xf numFmtId="0" fontId="3" fillId="2" borderId="2" xfId="2" applyFont="1" applyFill="1" applyBorder="1" applyAlignment="1" applyProtection="1">
      <alignment vertical="center"/>
      <protection locked="0"/>
    </xf>
    <xf numFmtId="0" fontId="9" fillId="0" borderId="10" xfId="2" applyFont="1" applyBorder="1" applyAlignment="1" applyProtection="1">
      <alignment vertical="center"/>
      <protection hidden="1"/>
    </xf>
    <xf numFmtId="1" fontId="9" fillId="0" borderId="10" xfId="2" applyNumberFormat="1" applyFont="1" applyBorder="1" applyAlignment="1" applyProtection="1">
      <alignment horizontal="right" vertical="center"/>
      <protection hidden="1"/>
    </xf>
    <xf numFmtId="0" fontId="15" fillId="3" borderId="0" xfId="2" applyFont="1" applyFill="1" applyAlignment="1" applyProtection="1">
      <alignment vertical="center"/>
      <protection hidden="1"/>
    </xf>
    <xf numFmtId="0" fontId="16" fillId="2" borderId="10" xfId="0" applyFont="1" applyFill="1" applyBorder="1" applyAlignment="1" applyProtection="1">
      <alignment vertical="top"/>
      <protection hidden="1"/>
    </xf>
    <xf numFmtId="0" fontId="16" fillId="3" borderId="10" xfId="0" applyFont="1" applyFill="1" applyBorder="1" applyAlignment="1" applyProtection="1">
      <alignment vertical="top" wrapText="1"/>
      <protection hidden="1"/>
    </xf>
    <xf numFmtId="0" fontId="16" fillId="3" borderId="16" xfId="0" applyFont="1" applyFill="1" applyBorder="1" applyAlignment="1" applyProtection="1">
      <alignment vertical="top" wrapText="1"/>
      <protection hidden="1"/>
    </xf>
    <xf numFmtId="0" fontId="9" fillId="2" borderId="17" xfId="0" applyFont="1" applyFill="1" applyBorder="1" applyAlignment="1" applyProtection="1">
      <alignment vertical="center"/>
      <protection hidden="1"/>
    </xf>
    <xf numFmtId="0" fontId="9" fillId="2" borderId="1" xfId="0" applyFont="1" applyFill="1" applyBorder="1" applyAlignment="1" applyProtection="1">
      <alignment vertical="center"/>
      <protection hidden="1"/>
    </xf>
    <xf numFmtId="0" fontId="0" fillId="0" borderId="11" xfId="0" applyBorder="1"/>
    <xf numFmtId="0" fontId="9" fillId="2" borderId="10" xfId="0" applyFont="1" applyFill="1" applyBorder="1" applyAlignment="1" applyProtection="1">
      <alignment vertical="center"/>
      <protection hidden="1"/>
    </xf>
    <xf numFmtId="0" fontId="9" fillId="3" borderId="0" xfId="2" applyFont="1" applyFill="1" applyAlignment="1" applyProtection="1">
      <alignment vertical="center"/>
      <protection hidden="1"/>
    </xf>
    <xf numFmtId="174" fontId="9" fillId="3" borderId="0" xfId="0" applyNumberFormat="1" applyFont="1" applyFill="1" applyAlignment="1" applyProtection="1">
      <alignment vertical="center"/>
      <protection locked="0" hidden="1"/>
    </xf>
    <xf numFmtId="0" fontId="7" fillId="3" borderId="0" xfId="2" applyFont="1" applyFill="1" applyProtection="1">
      <protection hidden="1"/>
    </xf>
    <xf numFmtId="0" fontId="17" fillId="0" borderId="0" xfId="0" applyFont="1"/>
    <xf numFmtId="0" fontId="37" fillId="2" borderId="0" xfId="2" quotePrefix="1" applyFont="1" applyFill="1" applyAlignment="1" applyProtection="1">
      <alignment vertical="center"/>
      <protection locked="0" hidden="1"/>
    </xf>
    <xf numFmtId="0" fontId="3" fillId="0" borderId="8" xfId="2" applyFont="1" applyBorder="1" applyAlignment="1" applyProtection="1">
      <alignment horizontal="left" vertical="center"/>
      <protection hidden="1"/>
    </xf>
    <xf numFmtId="0" fontId="3" fillId="0" borderId="8" xfId="2" applyFont="1" applyBorder="1" applyAlignment="1" applyProtection="1">
      <alignment horizontal="right" vertical="center"/>
      <protection hidden="1"/>
    </xf>
    <xf numFmtId="164" fontId="3" fillId="0" borderId="8" xfId="2" applyNumberFormat="1" applyFont="1" applyBorder="1" applyAlignment="1" applyProtection="1">
      <alignment vertical="center"/>
      <protection hidden="1"/>
    </xf>
    <xf numFmtId="0" fontId="3" fillId="2" borderId="2" xfId="2" applyFont="1" applyFill="1" applyBorder="1" applyAlignment="1" applyProtection="1">
      <alignment vertical="center"/>
      <protection locked="0" hidden="1"/>
    </xf>
    <xf numFmtId="0" fontId="3" fillId="2" borderId="3" xfId="2" applyFont="1" applyFill="1" applyBorder="1" applyAlignment="1" applyProtection="1">
      <alignment vertical="center"/>
      <protection locked="0" hidden="1"/>
    </xf>
    <xf numFmtId="0" fontId="3" fillId="2" borderId="19" xfId="2" applyFont="1" applyFill="1" applyBorder="1" applyAlignment="1" applyProtection="1">
      <alignment vertical="center"/>
      <protection locked="0" hidden="1"/>
    </xf>
    <xf numFmtId="0" fontId="3" fillId="2" borderId="1" xfId="2" applyFont="1" applyFill="1" applyBorder="1" applyAlignment="1" applyProtection="1">
      <alignment vertical="center"/>
      <protection locked="0" hidden="1"/>
    </xf>
    <xf numFmtId="175" fontId="9" fillId="0" borderId="0" xfId="2" applyNumberFormat="1" applyFont="1" applyAlignment="1" applyProtection="1">
      <alignment horizontal="center" vertical="center"/>
      <protection hidden="1"/>
    </xf>
    <xf numFmtId="0" fontId="7" fillId="2" borderId="0" xfId="0" applyFont="1" applyFill="1" applyAlignment="1" applyProtection="1">
      <alignment vertical="center"/>
      <protection hidden="1"/>
    </xf>
    <xf numFmtId="0" fontId="11" fillId="2" borderId="11" xfId="0" applyFont="1" applyFill="1" applyBorder="1" applyAlignment="1" applyProtection="1">
      <alignment horizontal="center" vertical="center"/>
      <protection hidden="1"/>
    </xf>
    <xf numFmtId="0" fontId="9" fillId="2" borderId="12" xfId="0" applyFont="1" applyFill="1" applyBorder="1" applyAlignment="1" applyProtection="1">
      <alignment vertical="center"/>
      <protection hidden="1"/>
    </xf>
    <xf numFmtId="0" fontId="9" fillId="2" borderId="13" xfId="0" applyFont="1" applyFill="1" applyBorder="1" applyAlignment="1" applyProtection="1">
      <alignment vertical="center"/>
      <protection hidden="1"/>
    </xf>
    <xf numFmtId="0" fontId="9" fillId="2" borderId="14" xfId="0" applyFont="1" applyFill="1" applyBorder="1" applyAlignment="1" applyProtection="1">
      <alignment vertical="center"/>
      <protection hidden="1"/>
    </xf>
    <xf numFmtId="0" fontId="9" fillId="2" borderId="15" xfId="0" applyFont="1" applyFill="1" applyBorder="1" applyAlignment="1" applyProtection="1">
      <alignment vertical="center"/>
      <protection hidden="1"/>
    </xf>
    <xf numFmtId="0" fontId="9" fillId="2" borderId="16" xfId="0" applyFont="1" applyFill="1" applyBorder="1" applyAlignment="1" applyProtection="1">
      <alignment vertical="center"/>
      <protection hidden="1"/>
    </xf>
    <xf numFmtId="0" fontId="3" fillId="0" borderId="8" xfId="2" applyFont="1" applyBorder="1" applyAlignment="1" applyProtection="1">
      <alignment vertical="center"/>
      <protection hidden="1"/>
    </xf>
    <xf numFmtId="0" fontId="9" fillId="0" borderId="8" xfId="2" applyFont="1" applyBorder="1" applyAlignment="1" applyProtection="1">
      <alignment vertical="center"/>
      <protection hidden="1"/>
    </xf>
    <xf numFmtId="1" fontId="9" fillId="0" borderId="8" xfId="2" applyNumberFormat="1" applyFont="1" applyBorder="1" applyAlignment="1" applyProtection="1">
      <alignment horizontal="right" vertical="center"/>
      <protection hidden="1"/>
    </xf>
    <xf numFmtId="164" fontId="3" fillId="3" borderId="0" xfId="2" applyNumberFormat="1" applyFont="1" applyFill="1" applyAlignment="1" applyProtection="1">
      <alignment horizontal="left" vertical="center"/>
      <protection hidden="1"/>
    </xf>
    <xf numFmtId="164" fontId="3" fillId="3" borderId="0" xfId="2" applyNumberFormat="1" applyFont="1" applyFill="1" applyAlignment="1" applyProtection="1">
      <alignment horizontal="right" vertical="center"/>
      <protection hidden="1"/>
    </xf>
    <xf numFmtId="0" fontId="14" fillId="4" borderId="10" xfId="2" applyFont="1" applyFill="1" applyBorder="1" applyAlignment="1" applyProtection="1">
      <alignment vertical="center"/>
      <protection hidden="1"/>
    </xf>
    <xf numFmtId="0" fontId="26" fillId="3" borderId="0" xfId="2" applyFont="1" applyFill="1" applyAlignment="1" applyProtection="1">
      <alignment horizontal="left"/>
      <protection hidden="1"/>
    </xf>
    <xf numFmtId="173" fontId="3" fillId="0" borderId="10" xfId="2" applyNumberFormat="1" applyFont="1" applyBorder="1" applyAlignment="1" applyProtection="1">
      <alignment vertical="center"/>
      <protection hidden="1"/>
    </xf>
    <xf numFmtId="0" fontId="14" fillId="3" borderId="0" xfId="2" applyFont="1" applyFill="1" applyProtection="1">
      <protection hidden="1"/>
    </xf>
    <xf numFmtId="0" fontId="52" fillId="5" borderId="12" xfId="0" applyFont="1" applyFill="1" applyBorder="1"/>
    <xf numFmtId="0" fontId="52" fillId="5" borderId="13" xfId="0" applyFont="1" applyFill="1" applyBorder="1"/>
    <xf numFmtId="0" fontId="14" fillId="5" borderId="14" xfId="2" applyFont="1" applyFill="1" applyBorder="1" applyProtection="1">
      <protection hidden="1"/>
    </xf>
    <xf numFmtId="0" fontId="14" fillId="5" borderId="17" xfId="2" applyFont="1" applyFill="1" applyBorder="1" applyProtection="1">
      <protection hidden="1"/>
    </xf>
    <xf numFmtId="0" fontId="14" fillId="5" borderId="0" xfId="2" applyFont="1" applyFill="1" applyProtection="1">
      <protection hidden="1"/>
    </xf>
    <xf numFmtId="0" fontId="14" fillId="5" borderId="1" xfId="2" applyFont="1" applyFill="1" applyBorder="1" applyProtection="1">
      <protection hidden="1"/>
    </xf>
    <xf numFmtId="0" fontId="53" fillId="5" borderId="17" xfId="1" applyFont="1" applyFill="1" applyBorder="1" applyAlignment="1" applyProtection="1"/>
    <xf numFmtId="0" fontId="14" fillId="5" borderId="17" xfId="0" applyFont="1" applyFill="1" applyBorder="1"/>
    <xf numFmtId="0" fontId="14" fillId="5" borderId="15" xfId="2" applyFont="1" applyFill="1" applyBorder="1" applyProtection="1">
      <protection hidden="1"/>
    </xf>
    <xf numFmtId="0" fontId="14" fillId="5" borderId="10" xfId="2" applyFont="1" applyFill="1" applyBorder="1" applyProtection="1">
      <protection hidden="1"/>
    </xf>
    <xf numFmtId="0" fontId="14" fillId="5" borderId="16" xfId="2" applyFont="1" applyFill="1" applyBorder="1" applyProtection="1">
      <protection hidden="1"/>
    </xf>
    <xf numFmtId="0" fontId="28" fillId="3" borderId="0" xfId="2" applyFont="1" applyFill="1" applyAlignment="1" applyProtection="1">
      <alignment horizontal="right"/>
      <protection hidden="1"/>
    </xf>
    <xf numFmtId="0" fontId="28" fillId="3" borderId="10" xfId="2" applyFont="1" applyFill="1" applyBorder="1" applyProtection="1">
      <protection hidden="1"/>
    </xf>
    <xf numFmtId="0" fontId="14" fillId="4" borderId="12" xfId="0" applyFont="1" applyFill="1" applyBorder="1" applyAlignment="1" applyProtection="1">
      <alignment vertical="center"/>
      <protection hidden="1"/>
    </xf>
    <xf numFmtId="0" fontId="14" fillId="4" borderId="13" xfId="0" applyFont="1" applyFill="1" applyBorder="1" applyAlignment="1" applyProtection="1">
      <alignment vertical="center"/>
      <protection hidden="1"/>
    </xf>
    <xf numFmtId="0" fontId="14" fillId="4" borderId="14" xfId="0" applyFont="1" applyFill="1" applyBorder="1" applyAlignment="1" applyProtection="1">
      <alignment vertical="center"/>
      <protection hidden="1"/>
    </xf>
    <xf numFmtId="0" fontId="14" fillId="4" borderId="17" xfId="0" applyFont="1" applyFill="1" applyBorder="1" applyAlignment="1" applyProtection="1">
      <alignment vertical="center"/>
      <protection hidden="1"/>
    </xf>
    <xf numFmtId="0" fontId="14" fillId="4" borderId="0" xfId="0" applyFont="1" applyFill="1" applyAlignment="1" applyProtection="1">
      <alignment vertical="center"/>
      <protection hidden="1"/>
    </xf>
    <xf numFmtId="0" fontId="14" fillId="4" borderId="1" xfId="0" applyFont="1" applyFill="1" applyBorder="1" applyAlignment="1" applyProtection="1">
      <alignment vertical="center"/>
      <protection hidden="1"/>
    </xf>
    <xf numFmtId="9" fontId="14" fillId="4" borderId="0" xfId="0" applyNumberFormat="1" applyFont="1" applyFill="1" applyAlignment="1" applyProtection="1">
      <alignment vertical="center"/>
      <protection hidden="1"/>
    </xf>
    <xf numFmtId="0" fontId="14" fillId="4" borderId="0" xfId="0" applyFont="1" applyFill="1" applyAlignment="1" applyProtection="1">
      <alignment vertical="center" wrapText="1"/>
      <protection hidden="1"/>
    </xf>
    <xf numFmtId="0" fontId="14" fillId="4" borderId="15" xfId="0" applyFont="1" applyFill="1" applyBorder="1" applyAlignment="1" applyProtection="1">
      <alignment vertical="center"/>
      <protection hidden="1"/>
    </xf>
    <xf numFmtId="0" fontId="14" fillId="4" borderId="10" xfId="0" applyFont="1" applyFill="1" applyBorder="1" applyAlignment="1" applyProtection="1">
      <alignment vertical="center"/>
      <protection hidden="1"/>
    </xf>
    <xf numFmtId="0" fontId="14" fillId="4" borderId="16" xfId="0" applyFont="1" applyFill="1" applyBorder="1" applyAlignment="1" applyProtection="1">
      <alignment vertical="center"/>
      <protection hidden="1"/>
    </xf>
    <xf numFmtId="0" fontId="3" fillId="2" borderId="28" xfId="0" applyFont="1" applyFill="1" applyBorder="1" applyAlignment="1" applyProtection="1">
      <alignment vertical="center"/>
      <protection hidden="1"/>
    </xf>
    <xf numFmtId="2" fontId="3" fillId="3" borderId="0" xfId="0" applyNumberFormat="1" applyFont="1" applyFill="1" applyAlignment="1" applyProtection="1">
      <alignment vertical="center"/>
      <protection hidden="1"/>
    </xf>
    <xf numFmtId="179" fontId="3" fillId="3" borderId="0" xfId="0" applyNumberFormat="1" applyFont="1" applyFill="1" applyAlignment="1" applyProtection="1">
      <alignment horizontal="right" vertical="center"/>
      <protection hidden="1"/>
    </xf>
    <xf numFmtId="0" fontId="2" fillId="3" borderId="0" xfId="4" applyFill="1"/>
    <xf numFmtId="0" fontId="2" fillId="3" borderId="12" xfId="4" applyFill="1" applyBorder="1"/>
    <xf numFmtId="0" fontId="2" fillId="3" borderId="13" xfId="4" applyFill="1" applyBorder="1"/>
    <xf numFmtId="0" fontId="2" fillId="3" borderId="14" xfId="4" applyFill="1" applyBorder="1"/>
    <xf numFmtId="0" fontId="2" fillId="3" borderId="17" xfId="4" applyFill="1" applyBorder="1"/>
    <xf numFmtId="0" fontId="2" fillId="3" borderId="1" xfId="4" applyFill="1" applyBorder="1"/>
    <xf numFmtId="0" fontId="2" fillId="3" borderId="21" xfId="4" applyFill="1" applyBorder="1"/>
    <xf numFmtId="0" fontId="2" fillId="3" borderId="15" xfId="4" applyFill="1" applyBorder="1"/>
    <xf numFmtId="0" fontId="2" fillId="3" borderId="10" xfId="4" applyFill="1" applyBorder="1"/>
    <xf numFmtId="0" fontId="55" fillId="3" borderId="10" xfId="4" applyFont="1" applyFill="1" applyBorder="1"/>
    <xf numFmtId="0" fontId="2" fillId="3" borderId="16" xfId="4" applyFill="1" applyBorder="1"/>
    <xf numFmtId="0" fontId="57" fillId="3" borderId="0" xfId="4" applyFont="1" applyFill="1" applyAlignment="1">
      <alignment vertical="center"/>
    </xf>
    <xf numFmtId="0" fontId="58" fillId="3" borderId="0" xfId="4" applyFont="1" applyFill="1" applyAlignment="1">
      <alignment horizontal="right" vertical="center"/>
    </xf>
    <xf numFmtId="190" fontId="56" fillId="3" borderId="0" xfId="4" applyNumberFormat="1" applyFont="1" applyFill="1" applyAlignment="1">
      <alignment vertical="center"/>
    </xf>
    <xf numFmtId="190" fontId="56" fillId="3" borderId="1" xfId="4" applyNumberFormat="1" applyFont="1" applyFill="1" applyBorder="1" applyAlignment="1">
      <alignment vertical="center"/>
    </xf>
    <xf numFmtId="167" fontId="17" fillId="3" borderId="0" xfId="4" applyNumberFormat="1" applyFont="1" applyFill="1" applyAlignment="1">
      <alignment vertical="center"/>
    </xf>
    <xf numFmtId="0" fontId="3" fillId="2" borderId="5" xfId="2" applyFont="1" applyFill="1" applyBorder="1" applyAlignment="1" applyProtection="1">
      <alignment vertical="center"/>
      <protection locked="0"/>
    </xf>
    <xf numFmtId="0" fontId="6" fillId="2" borderId="0" xfId="2" quotePrefix="1" applyFont="1" applyFill="1" applyAlignment="1" applyProtection="1">
      <alignment vertical="center"/>
      <protection locked="0"/>
    </xf>
    <xf numFmtId="0" fontId="14" fillId="4" borderId="35" xfId="2" applyFont="1" applyFill="1" applyBorder="1" applyAlignment="1" applyProtection="1">
      <alignment vertical="center"/>
      <protection hidden="1"/>
    </xf>
    <xf numFmtId="0" fontId="14" fillId="4" borderId="21" xfId="2" applyFont="1" applyFill="1" applyBorder="1" applyAlignment="1" applyProtection="1">
      <alignment vertical="center"/>
      <protection hidden="1"/>
    </xf>
    <xf numFmtId="0" fontId="14" fillId="4" borderId="36" xfId="2" applyFont="1" applyFill="1" applyBorder="1" applyAlignment="1" applyProtection="1">
      <alignment vertical="center"/>
      <protection hidden="1"/>
    </xf>
    <xf numFmtId="0" fontId="6" fillId="0" borderId="0" xfId="2" applyFont="1" applyAlignment="1" applyProtection="1">
      <alignment vertical="center"/>
      <protection hidden="1"/>
    </xf>
    <xf numFmtId="0" fontId="3" fillId="0" borderId="0" xfId="2" applyFont="1" applyAlignment="1" applyProtection="1">
      <alignment horizontal="left" vertical="top" wrapText="1"/>
      <protection hidden="1"/>
    </xf>
    <xf numFmtId="0" fontId="9" fillId="0" borderId="13" xfId="2" applyFont="1" applyBorder="1" applyAlignment="1" applyProtection="1">
      <alignment vertical="center"/>
      <protection hidden="1"/>
    </xf>
    <xf numFmtId="0" fontId="3" fillId="0" borderId="17" xfId="2" applyFont="1" applyBorder="1" applyAlignment="1" applyProtection="1">
      <alignment horizontal="center" vertical="center"/>
      <protection hidden="1"/>
    </xf>
    <xf numFmtId="0" fontId="3" fillId="0" borderId="15" xfId="2" applyFont="1" applyBorder="1" applyAlignment="1" applyProtection="1">
      <alignment horizontal="center" vertical="center"/>
      <protection hidden="1"/>
    </xf>
    <xf numFmtId="0" fontId="3" fillId="0" borderId="10" xfId="2" applyFont="1" applyBorder="1" applyAlignment="1" applyProtection="1">
      <alignment horizontal="left" vertical="top" wrapText="1"/>
      <protection hidden="1"/>
    </xf>
    <xf numFmtId="0" fontId="3" fillId="0" borderId="10" xfId="2" applyFont="1" applyBorder="1" applyAlignment="1" applyProtection="1">
      <alignment horizontal="center" vertical="center"/>
      <protection hidden="1"/>
    </xf>
    <xf numFmtId="0" fontId="3" fillId="0" borderId="12" xfId="2" applyFont="1" applyBorder="1" applyAlignment="1" applyProtection="1">
      <alignment horizontal="center" vertical="center"/>
      <protection hidden="1"/>
    </xf>
    <xf numFmtId="0" fontId="18" fillId="0" borderId="0" xfId="2" applyFont="1" applyAlignment="1" applyProtection="1">
      <alignment horizontal="left" vertical="center"/>
      <protection hidden="1"/>
    </xf>
    <xf numFmtId="0" fontId="18" fillId="0" borderId="29" xfId="2" applyFont="1" applyBorder="1" applyAlignment="1" applyProtection="1">
      <alignment horizontal="left" vertical="center"/>
      <protection hidden="1"/>
    </xf>
    <xf numFmtId="0" fontId="18" fillId="0" borderId="26" xfId="2" applyFont="1" applyBorder="1" applyAlignment="1" applyProtection="1">
      <alignment horizontal="left" vertical="center"/>
      <protection hidden="1"/>
    </xf>
    <xf numFmtId="0" fontId="18" fillId="0" borderId="25" xfId="2" applyFont="1" applyBorder="1" applyAlignment="1" applyProtection="1">
      <alignment horizontal="left" vertical="center"/>
      <protection hidden="1"/>
    </xf>
    <xf numFmtId="0" fontId="3" fillId="0" borderId="25" xfId="2" applyFont="1" applyBorder="1" applyAlignment="1" applyProtection="1">
      <alignment horizontal="left" vertical="center"/>
      <protection hidden="1"/>
    </xf>
    <xf numFmtId="0" fontId="3" fillId="0" borderId="1" xfId="2" applyFont="1" applyBorder="1" applyAlignment="1" applyProtection="1">
      <alignment horizontal="center" vertical="center"/>
      <protection hidden="1"/>
    </xf>
    <xf numFmtId="0" fontId="16" fillId="0" borderId="25" xfId="2" applyFont="1" applyBorder="1" applyAlignment="1" applyProtection="1">
      <alignment horizontal="right" vertical="center"/>
      <protection hidden="1"/>
    </xf>
    <xf numFmtId="0" fontId="62" fillId="0" borderId="0" xfId="2" applyFont="1" applyAlignment="1" applyProtection="1">
      <alignment vertical="center"/>
      <protection hidden="1"/>
    </xf>
    <xf numFmtId="0" fontId="62" fillId="2" borderId="0" xfId="2" applyFont="1" applyFill="1" applyAlignment="1" applyProtection="1">
      <alignment vertical="center"/>
      <protection hidden="1"/>
    </xf>
    <xf numFmtId="0" fontId="3" fillId="0" borderId="0" xfId="2" applyFont="1" applyAlignment="1" applyProtection="1">
      <alignment horizontal="right" vertical="top"/>
      <protection hidden="1"/>
    </xf>
    <xf numFmtId="0" fontId="3" fillId="0" borderId="13" xfId="2" applyFont="1" applyBorder="1" applyAlignment="1" applyProtection="1">
      <alignment horizontal="left" vertical="top" wrapText="1"/>
      <protection hidden="1"/>
    </xf>
    <xf numFmtId="0" fontId="3" fillId="0" borderId="14" xfId="2" applyFont="1" applyBorder="1" applyAlignment="1" applyProtection="1">
      <alignment horizontal="center" vertical="center"/>
      <protection hidden="1"/>
    </xf>
    <xf numFmtId="0" fontId="3" fillId="0" borderId="16" xfId="2" applyFont="1" applyBorder="1" applyAlignment="1" applyProtection="1">
      <alignment horizontal="center" vertical="center"/>
      <protection hidden="1"/>
    </xf>
    <xf numFmtId="0" fontId="3" fillId="2" borderId="2" xfId="2" applyFont="1" applyFill="1" applyBorder="1" applyAlignment="1" applyProtection="1">
      <alignment vertical="center"/>
      <protection hidden="1"/>
    </xf>
    <xf numFmtId="0" fontId="3" fillId="2" borderId="4" xfId="2" applyFont="1" applyFill="1" applyBorder="1" applyAlignment="1" applyProtection="1">
      <alignment vertical="center"/>
      <protection hidden="1"/>
    </xf>
    <xf numFmtId="0" fontId="5" fillId="2" borderId="28" xfId="2" applyFont="1" applyFill="1" applyBorder="1" applyAlignment="1" applyProtection="1">
      <alignment vertical="center"/>
      <protection hidden="1"/>
    </xf>
    <xf numFmtId="0" fontId="5" fillId="2" borderId="17" xfId="2" applyFont="1" applyFill="1" applyBorder="1" applyAlignment="1" applyProtection="1">
      <alignment vertical="center"/>
      <protection hidden="1"/>
    </xf>
    <xf numFmtId="0" fontId="6" fillId="0" borderId="17" xfId="2" applyFont="1" applyBorder="1" applyAlignment="1" applyProtection="1">
      <alignment vertical="center"/>
      <protection hidden="1"/>
    </xf>
    <xf numFmtId="0" fontId="6" fillId="0" borderId="0" xfId="2" applyFont="1" applyAlignment="1" applyProtection="1">
      <alignment horizontal="left" vertical="center"/>
      <protection hidden="1"/>
    </xf>
    <xf numFmtId="0" fontId="3" fillId="0" borderId="14" xfId="2" applyFont="1" applyBorder="1" applyAlignment="1" applyProtection="1">
      <alignment horizontal="left" vertical="top" wrapText="1"/>
      <protection hidden="1"/>
    </xf>
    <xf numFmtId="0" fontId="9" fillId="0" borderId="12" xfId="2" applyFont="1" applyBorder="1" applyAlignment="1" applyProtection="1">
      <alignment vertical="center"/>
      <protection hidden="1"/>
    </xf>
    <xf numFmtId="0" fontId="3" fillId="0" borderId="0" xfId="2" applyFont="1" applyAlignment="1" applyProtection="1">
      <alignment horizontal="left" vertical="center" wrapText="1"/>
      <protection hidden="1"/>
    </xf>
    <xf numFmtId="0" fontId="3" fillId="0" borderId="17" xfId="2" applyFont="1" applyBorder="1" applyAlignment="1" applyProtection="1">
      <alignment horizontal="left" vertical="center" wrapText="1"/>
      <protection hidden="1"/>
    </xf>
    <xf numFmtId="0" fontId="3" fillId="0" borderId="1" xfId="2" applyFont="1" applyBorder="1" applyAlignment="1" applyProtection="1">
      <alignment horizontal="left" vertical="center" wrapText="1"/>
      <protection hidden="1"/>
    </xf>
    <xf numFmtId="0" fontId="6" fillId="0" borderId="17" xfId="2" applyFont="1" applyBorder="1" applyAlignment="1" applyProtection="1">
      <alignment horizontal="left" vertical="center"/>
      <protection hidden="1"/>
    </xf>
    <xf numFmtId="0" fontId="36" fillId="0" borderId="26" xfId="2" applyFont="1" applyBorder="1" applyAlignment="1" applyProtection="1">
      <alignment horizontal="left" vertical="center"/>
      <protection hidden="1"/>
    </xf>
    <xf numFmtId="0" fontId="36" fillId="0" borderId="29" xfId="2" applyFont="1" applyBorder="1" applyAlignment="1" applyProtection="1">
      <alignment horizontal="left" vertical="center"/>
      <protection hidden="1"/>
    </xf>
    <xf numFmtId="0" fontId="36" fillId="0" borderId="25" xfId="2" applyFont="1" applyBorder="1" applyAlignment="1" applyProtection="1">
      <alignment horizontal="left" vertical="center"/>
      <protection hidden="1"/>
    </xf>
    <xf numFmtId="0" fontId="39" fillId="2" borderId="0" xfId="2" applyFont="1" applyFill="1" applyAlignment="1" applyProtection="1">
      <alignment vertical="center"/>
      <protection hidden="1"/>
    </xf>
    <xf numFmtId="0" fontId="39" fillId="0" borderId="0" xfId="2" applyFont="1" applyAlignment="1" applyProtection="1">
      <alignment vertical="center"/>
      <protection hidden="1"/>
    </xf>
    <xf numFmtId="0" fontId="65" fillId="0" borderId="0" xfId="2" applyFont="1" applyAlignment="1" applyProtection="1">
      <alignment horizontal="right" vertical="top"/>
      <protection hidden="1"/>
    </xf>
    <xf numFmtId="0" fontId="66" fillId="2" borderId="0" xfId="2" applyFont="1" applyFill="1" applyAlignment="1" applyProtection="1">
      <alignment vertical="center"/>
      <protection hidden="1"/>
    </xf>
    <xf numFmtId="0" fontId="14" fillId="4" borderId="13" xfId="2" applyFont="1" applyFill="1" applyBorder="1" applyAlignment="1" applyProtection="1">
      <alignment vertical="center"/>
      <protection hidden="1"/>
    </xf>
    <xf numFmtId="0" fontId="18" fillId="3" borderId="0" xfId="2" applyFont="1" applyFill="1" applyAlignment="1" applyProtection="1">
      <alignment vertical="top" wrapText="1"/>
      <protection hidden="1"/>
    </xf>
    <xf numFmtId="0" fontId="3" fillId="3" borderId="17" xfId="2" applyFont="1" applyFill="1" applyBorder="1" applyAlignment="1" applyProtection="1">
      <alignment vertical="center"/>
      <protection hidden="1"/>
    </xf>
    <xf numFmtId="0" fontId="3" fillId="3" borderId="1" xfId="2" applyFont="1" applyFill="1" applyBorder="1" applyAlignment="1" applyProtection="1">
      <alignment vertical="center"/>
      <protection hidden="1"/>
    </xf>
    <xf numFmtId="49" fontId="3" fillId="3" borderId="0" xfId="2" applyNumberFormat="1" applyFont="1" applyFill="1" applyAlignment="1" applyProtection="1">
      <alignment vertical="center"/>
      <protection hidden="1"/>
    </xf>
    <xf numFmtId="49" fontId="38" fillId="3" borderId="0" xfId="1" applyNumberFormat="1" applyFill="1" applyAlignment="1" applyProtection="1">
      <alignment vertical="center"/>
      <protection hidden="1"/>
    </xf>
    <xf numFmtId="1" fontId="3" fillId="3" borderId="0" xfId="2" applyNumberFormat="1" applyFont="1" applyFill="1" applyAlignment="1" applyProtection="1">
      <alignment vertical="center"/>
      <protection hidden="1"/>
    </xf>
    <xf numFmtId="0" fontId="7" fillId="3" borderId="0" xfId="2" applyFont="1" applyFill="1" applyAlignment="1" applyProtection="1">
      <alignment vertical="center"/>
      <protection hidden="1"/>
    </xf>
    <xf numFmtId="173" fontId="3" fillId="3" borderId="0" xfId="2" applyNumberFormat="1" applyFont="1" applyFill="1" applyAlignment="1" applyProtection="1">
      <alignment vertical="center"/>
      <protection hidden="1"/>
    </xf>
    <xf numFmtId="0" fontId="9" fillId="3" borderId="17" xfId="2" applyFont="1" applyFill="1" applyBorder="1" applyAlignment="1" applyProtection="1">
      <alignment vertical="center"/>
      <protection hidden="1"/>
    </xf>
    <xf numFmtId="0" fontId="9" fillId="3" borderId="0" xfId="2" applyFont="1" applyFill="1" applyAlignment="1" applyProtection="1">
      <alignment horizontal="right" vertical="center"/>
      <protection hidden="1"/>
    </xf>
    <xf numFmtId="0" fontId="9" fillId="3" borderId="1" xfId="2" applyFont="1" applyFill="1" applyBorder="1" applyAlignment="1" applyProtection="1">
      <alignment vertical="center"/>
      <protection hidden="1"/>
    </xf>
    <xf numFmtId="0" fontId="12" fillId="3" borderId="17" xfId="2" applyFont="1" applyFill="1" applyBorder="1" applyAlignment="1" applyProtection="1">
      <alignment vertical="center"/>
      <protection hidden="1"/>
    </xf>
    <xf numFmtId="0" fontId="24" fillId="3" borderId="0" xfId="2" applyFont="1" applyFill="1" applyAlignment="1" applyProtection="1">
      <alignment horizontal="center" vertical="center"/>
      <protection hidden="1"/>
    </xf>
    <xf numFmtId="0" fontId="9" fillId="3" borderId="0" xfId="2" applyFont="1" applyFill="1" applyAlignment="1" applyProtection="1">
      <alignment horizontal="right"/>
      <protection hidden="1"/>
    </xf>
    <xf numFmtId="174" fontId="3" fillId="3" borderId="0" xfId="2" applyNumberFormat="1" applyFont="1" applyFill="1" applyAlignment="1" applyProtection="1">
      <alignment vertical="center"/>
      <protection hidden="1"/>
    </xf>
    <xf numFmtId="167" fontId="3" fillId="3" borderId="0" xfId="2" applyNumberFormat="1" applyFont="1" applyFill="1" applyAlignment="1" applyProtection="1">
      <alignment vertical="center"/>
      <protection hidden="1"/>
    </xf>
    <xf numFmtId="0" fontId="6" fillId="3" borderId="0" xfId="2" applyFont="1" applyFill="1" applyAlignment="1" applyProtection="1">
      <alignment horizontal="right" vertical="center"/>
      <protection hidden="1"/>
    </xf>
    <xf numFmtId="176" fontId="3" fillId="3" borderId="0" xfId="2" applyNumberFormat="1" applyFont="1" applyFill="1" applyAlignment="1" applyProtection="1">
      <alignment vertical="center"/>
      <protection hidden="1"/>
    </xf>
    <xf numFmtId="176" fontId="9" fillId="3" borderId="0" xfId="2" applyNumberFormat="1" applyFont="1" applyFill="1" applyAlignment="1" applyProtection="1">
      <alignment vertical="center"/>
      <protection hidden="1"/>
    </xf>
    <xf numFmtId="170" fontId="39" fillId="3" borderId="0" xfId="2" applyNumberFormat="1" applyFont="1" applyFill="1" applyAlignment="1" applyProtection="1">
      <alignment vertical="center"/>
      <protection hidden="1"/>
    </xf>
    <xf numFmtId="0" fontId="3" fillId="3" borderId="0" xfId="2" applyFont="1" applyFill="1" applyAlignment="1" applyProtection="1">
      <alignment horizontal="center" vertical="center"/>
      <protection hidden="1"/>
    </xf>
    <xf numFmtId="168" fontId="3" fillId="3" borderId="0" xfId="2" applyNumberFormat="1" applyFont="1" applyFill="1" applyAlignment="1" applyProtection="1">
      <alignment horizontal="left" vertical="center"/>
      <protection hidden="1"/>
    </xf>
    <xf numFmtId="170" fontId="39" fillId="3" borderId="0" xfId="2" applyNumberFormat="1" applyFont="1" applyFill="1" applyAlignment="1" applyProtection="1">
      <alignment horizontal="center" vertical="center"/>
      <protection hidden="1"/>
    </xf>
    <xf numFmtId="168" fontId="3" fillId="3" borderId="0" xfId="2" applyNumberFormat="1" applyFont="1" applyFill="1" applyAlignment="1" applyProtection="1">
      <alignment vertical="center"/>
      <protection hidden="1"/>
    </xf>
    <xf numFmtId="0" fontId="15" fillId="3" borderId="0" xfId="2" applyFont="1" applyFill="1" applyAlignment="1" applyProtection="1">
      <alignment vertical="top" wrapText="1"/>
      <protection hidden="1"/>
    </xf>
    <xf numFmtId="0" fontId="15" fillId="3" borderId="0" xfId="2" applyFont="1" applyFill="1" applyAlignment="1" applyProtection="1">
      <alignment horizontal="center" vertical="top" wrapText="1"/>
      <protection hidden="1"/>
    </xf>
    <xf numFmtId="165" fontId="3" fillId="3" borderId="0" xfId="2" applyNumberFormat="1" applyFont="1" applyFill="1" applyAlignment="1" applyProtection="1">
      <alignment vertical="center"/>
      <protection hidden="1"/>
    </xf>
    <xf numFmtId="164" fontId="3" fillId="3" borderId="0" xfId="2" applyNumberFormat="1" applyFont="1" applyFill="1" applyAlignment="1" applyProtection="1">
      <alignment vertical="center"/>
      <protection hidden="1"/>
    </xf>
    <xf numFmtId="0" fontId="15" fillId="3" borderId="1" xfId="2" applyFont="1" applyFill="1" applyBorder="1" applyAlignment="1" applyProtection="1">
      <alignment vertical="top" wrapText="1"/>
      <protection hidden="1"/>
    </xf>
    <xf numFmtId="20" fontId="3" fillId="3" borderId="0" xfId="2" applyNumberFormat="1" applyFont="1" applyFill="1" applyAlignment="1" applyProtection="1">
      <alignment vertical="center"/>
      <protection hidden="1"/>
    </xf>
    <xf numFmtId="0" fontId="3" fillId="3" borderId="0" xfId="2" applyFont="1" applyFill="1" applyProtection="1">
      <protection hidden="1"/>
    </xf>
    <xf numFmtId="0" fontId="3" fillId="3" borderId="1" xfId="2" applyFont="1" applyFill="1" applyBorder="1" applyProtection="1">
      <protection hidden="1"/>
    </xf>
    <xf numFmtId="165" fontId="3" fillId="3" borderId="0" xfId="2" applyNumberFormat="1" applyFont="1" applyFill="1" applyAlignment="1" applyProtection="1">
      <alignment horizontal="left" vertical="center"/>
      <protection hidden="1"/>
    </xf>
    <xf numFmtId="169" fontId="3" fillId="3" borderId="0" xfId="2" applyNumberFormat="1" applyFont="1" applyFill="1" applyAlignment="1" applyProtection="1">
      <alignment vertical="center"/>
      <protection hidden="1"/>
    </xf>
    <xf numFmtId="0" fontId="15" fillId="3" borderId="0" xfId="2" applyFont="1" applyFill="1" applyAlignment="1" applyProtection="1">
      <alignment horizontal="right" vertical="center"/>
      <protection hidden="1"/>
    </xf>
    <xf numFmtId="1" fontId="15" fillId="3" borderId="0" xfId="2" applyNumberFormat="1" applyFont="1" applyFill="1" applyAlignment="1" applyProtection="1">
      <alignment vertical="center"/>
      <protection hidden="1"/>
    </xf>
    <xf numFmtId="0" fontId="15" fillId="3" borderId="0" xfId="2" applyFont="1" applyFill="1" applyAlignment="1" applyProtection="1">
      <alignment horizontal="left" vertical="center"/>
      <protection hidden="1"/>
    </xf>
    <xf numFmtId="165" fontId="3" fillId="3" borderId="0" xfId="2" applyNumberFormat="1" applyFont="1" applyFill="1" applyAlignment="1" applyProtection="1">
      <alignment horizontal="right" vertical="center"/>
      <protection hidden="1"/>
    </xf>
    <xf numFmtId="177" fontId="3" fillId="3" borderId="0" xfId="2" applyNumberFormat="1" applyFont="1" applyFill="1" applyAlignment="1" applyProtection="1">
      <alignment vertical="center"/>
      <protection hidden="1"/>
    </xf>
    <xf numFmtId="1" fontId="3" fillId="3" borderId="0" xfId="2" applyNumberFormat="1" applyFont="1" applyFill="1" applyAlignment="1" applyProtection="1">
      <alignment horizontal="right" vertical="center"/>
      <protection hidden="1"/>
    </xf>
    <xf numFmtId="1" fontId="21" fillId="3" borderId="0" xfId="2" applyNumberFormat="1" applyFont="1" applyFill="1" applyProtection="1">
      <protection hidden="1"/>
    </xf>
    <xf numFmtId="1" fontId="3" fillId="3" borderId="0" xfId="2" applyNumberFormat="1" applyFont="1" applyFill="1" applyAlignment="1" applyProtection="1">
      <alignment horizontal="center" vertical="center"/>
      <protection hidden="1"/>
    </xf>
    <xf numFmtId="0" fontId="3" fillId="3" borderId="15" xfId="2" applyFont="1" applyFill="1" applyBorder="1" applyAlignment="1" applyProtection="1">
      <alignment vertical="center"/>
      <protection hidden="1"/>
    </xf>
    <xf numFmtId="0" fontId="15" fillId="3" borderId="10" xfId="2" applyFont="1" applyFill="1" applyBorder="1" applyAlignment="1" applyProtection="1">
      <alignment horizontal="right" vertical="center"/>
      <protection hidden="1"/>
    </xf>
    <xf numFmtId="1" fontId="15" fillId="3" borderId="10" xfId="2" applyNumberFormat="1" applyFont="1" applyFill="1" applyBorder="1" applyAlignment="1" applyProtection="1">
      <alignment vertical="center"/>
      <protection hidden="1"/>
    </xf>
    <xf numFmtId="0" fontId="15" fillId="3" borderId="10" xfId="2" applyFont="1" applyFill="1" applyBorder="1" applyAlignment="1" applyProtection="1">
      <alignment horizontal="left" vertical="center"/>
      <protection hidden="1"/>
    </xf>
    <xf numFmtId="165" fontId="3" fillId="3" borderId="10" xfId="2" applyNumberFormat="1" applyFont="1" applyFill="1" applyBorder="1" applyAlignment="1" applyProtection="1">
      <alignment horizontal="right" vertical="center"/>
      <protection hidden="1"/>
    </xf>
    <xf numFmtId="20" fontId="3" fillId="3" borderId="10" xfId="2" applyNumberFormat="1" applyFont="1" applyFill="1" applyBorder="1" applyAlignment="1" applyProtection="1">
      <alignment vertical="center"/>
      <protection hidden="1"/>
    </xf>
    <xf numFmtId="0" fontId="3" fillId="3" borderId="10" xfId="2" applyFont="1" applyFill="1" applyBorder="1" applyAlignment="1" applyProtection="1">
      <alignment horizontal="left" vertical="center"/>
      <protection hidden="1"/>
    </xf>
    <xf numFmtId="164" fontId="3" fillId="3" borderId="10" xfId="2" applyNumberFormat="1" applyFont="1" applyFill="1" applyBorder="1" applyAlignment="1" applyProtection="1">
      <alignment horizontal="right" vertical="center"/>
      <protection hidden="1"/>
    </xf>
    <xf numFmtId="164" fontId="3" fillId="3" borderId="10" xfId="2" applyNumberFormat="1" applyFont="1" applyFill="1" applyBorder="1" applyAlignment="1" applyProtection="1">
      <alignment vertical="center"/>
      <protection hidden="1"/>
    </xf>
    <xf numFmtId="177" fontId="3" fillId="3" borderId="10" xfId="2" applyNumberFormat="1" applyFont="1" applyFill="1" applyBorder="1" applyAlignment="1" applyProtection="1">
      <alignment vertical="center"/>
      <protection hidden="1"/>
    </xf>
    <xf numFmtId="1" fontId="3" fillId="3" borderId="10" xfId="2" applyNumberFormat="1" applyFont="1" applyFill="1" applyBorder="1" applyAlignment="1" applyProtection="1">
      <alignment horizontal="right" vertical="center"/>
      <protection hidden="1"/>
    </xf>
    <xf numFmtId="0" fontId="3" fillId="3" borderId="16" xfId="2" applyFont="1" applyFill="1" applyBorder="1" applyAlignment="1" applyProtection="1">
      <alignment horizontal="left" vertical="center"/>
      <protection hidden="1"/>
    </xf>
    <xf numFmtId="191" fontId="59" fillId="3" borderId="0" xfId="4" applyNumberFormat="1" applyFont="1" applyFill="1" applyAlignment="1">
      <alignment vertical="top" wrapText="1"/>
    </xf>
    <xf numFmtId="0" fontId="60" fillId="3" borderId="0" xfId="4" applyFont="1" applyFill="1" applyAlignment="1">
      <alignment vertical="center"/>
    </xf>
    <xf numFmtId="173" fontId="58" fillId="3" borderId="0" xfId="4" applyNumberFormat="1" applyFont="1" applyFill="1" applyAlignment="1">
      <alignment vertical="center"/>
    </xf>
    <xf numFmtId="0" fontId="1" fillId="3" borderId="0" xfId="5" applyFill="1"/>
    <xf numFmtId="0" fontId="1" fillId="3" borderId="12" xfId="5" applyFill="1" applyBorder="1"/>
    <xf numFmtId="0" fontId="1" fillId="3" borderId="13" xfId="5" applyFill="1" applyBorder="1"/>
    <xf numFmtId="0" fontId="1" fillId="3" borderId="14" xfId="5" applyFill="1" applyBorder="1"/>
    <xf numFmtId="0" fontId="1" fillId="3" borderId="17" xfId="5" applyFill="1" applyBorder="1"/>
    <xf numFmtId="0" fontId="1" fillId="6" borderId="0" xfId="5" applyFill="1"/>
    <xf numFmtId="0" fontId="1" fillId="3" borderId="1" xfId="5" applyFill="1" applyBorder="1"/>
    <xf numFmtId="0" fontId="1" fillId="3" borderId="10" xfId="5" applyFill="1" applyBorder="1"/>
    <xf numFmtId="0" fontId="1" fillId="3" borderId="16" xfId="5" applyFill="1" applyBorder="1"/>
    <xf numFmtId="0" fontId="1" fillId="3" borderId="15" xfId="5" applyFill="1" applyBorder="1"/>
    <xf numFmtId="0" fontId="7" fillId="2" borderId="17" xfId="2" applyFont="1" applyFill="1" applyBorder="1" applyAlignment="1" applyProtection="1">
      <alignment vertical="center"/>
      <protection hidden="1"/>
    </xf>
    <xf numFmtId="167" fontId="3" fillId="0" borderId="0" xfId="2" applyNumberFormat="1" applyFont="1" applyAlignment="1" applyProtection="1">
      <alignment vertical="center"/>
      <protection hidden="1"/>
    </xf>
    <xf numFmtId="0" fontId="6" fillId="0" borderId="0" xfId="2" applyFont="1" applyAlignment="1" applyProtection="1">
      <alignment horizontal="right" vertical="center"/>
      <protection hidden="1"/>
    </xf>
    <xf numFmtId="176" fontId="3" fillId="0" borderId="0" xfId="2" applyNumberFormat="1" applyFont="1" applyAlignment="1" applyProtection="1">
      <alignment vertical="center"/>
      <protection hidden="1"/>
    </xf>
    <xf numFmtId="0" fontId="3" fillId="0" borderId="17" xfId="2" applyFont="1" applyBorder="1" applyAlignment="1" applyProtection="1">
      <alignment vertical="center" wrapText="1"/>
      <protection hidden="1"/>
    </xf>
    <xf numFmtId="14" fontId="3" fillId="2" borderId="0" xfId="2" applyNumberFormat="1" applyFont="1" applyFill="1" applyAlignment="1" applyProtection="1">
      <alignment vertical="center"/>
      <protection hidden="1"/>
    </xf>
    <xf numFmtId="0" fontId="3" fillId="0" borderId="14" xfId="2" applyFont="1" applyBorder="1" applyAlignment="1" applyProtection="1">
      <alignment horizontal="right" vertical="center"/>
      <protection hidden="1"/>
    </xf>
    <xf numFmtId="171" fontId="62" fillId="2" borderId="0" xfId="2" applyNumberFormat="1" applyFont="1" applyFill="1" applyAlignment="1" applyProtection="1">
      <alignment vertical="center"/>
      <protection hidden="1"/>
    </xf>
    <xf numFmtId="188" fontId="62" fillId="2" borderId="0" xfId="2" applyNumberFormat="1" applyFont="1" applyFill="1" applyAlignment="1" applyProtection="1">
      <alignment vertical="center"/>
      <protection hidden="1"/>
    </xf>
    <xf numFmtId="0" fontId="14" fillId="4" borderId="12" xfId="2" applyFont="1" applyFill="1" applyBorder="1" applyAlignment="1" applyProtection="1">
      <alignment vertical="center"/>
      <protection hidden="1"/>
    </xf>
    <xf numFmtId="0" fontId="14" fillId="4" borderId="17" xfId="2" applyFont="1" applyFill="1" applyBorder="1" applyAlignment="1" applyProtection="1">
      <alignment vertical="center"/>
      <protection hidden="1"/>
    </xf>
    <xf numFmtId="0" fontId="14" fillId="4" borderId="1" xfId="2" applyFont="1" applyFill="1" applyBorder="1" applyAlignment="1" applyProtection="1">
      <alignment vertical="center"/>
      <protection hidden="1"/>
    </xf>
    <xf numFmtId="177" fontId="14" fillId="4" borderId="17" xfId="2" applyNumberFormat="1" applyFont="1" applyFill="1" applyBorder="1" applyAlignment="1" applyProtection="1">
      <alignment vertical="center"/>
      <protection hidden="1"/>
    </xf>
    <xf numFmtId="0" fontId="14" fillId="4" borderId="15" xfId="2" applyFont="1" applyFill="1" applyBorder="1" applyAlignment="1" applyProtection="1">
      <alignment vertical="center"/>
      <protection hidden="1"/>
    </xf>
    <xf numFmtId="188" fontId="14" fillId="4" borderId="10" xfId="2" applyNumberFormat="1" applyFont="1" applyFill="1" applyBorder="1" applyAlignment="1" applyProtection="1">
      <alignment vertical="center"/>
      <protection hidden="1"/>
    </xf>
    <xf numFmtId="0" fontId="14" fillId="4" borderId="16" xfId="2" applyFont="1" applyFill="1" applyBorder="1" applyAlignment="1" applyProtection="1">
      <alignment vertical="center"/>
      <protection hidden="1"/>
    </xf>
    <xf numFmtId="176" fontId="35" fillId="0" borderId="11" xfId="2" applyNumberFormat="1" applyFont="1" applyBorder="1" applyAlignment="1" applyProtection="1">
      <alignment horizontal="center" vertical="center"/>
      <protection hidden="1"/>
    </xf>
    <xf numFmtId="0" fontId="3" fillId="0" borderId="10" xfId="2" applyFont="1" applyBorder="1" applyProtection="1">
      <protection hidden="1"/>
    </xf>
    <xf numFmtId="0" fontId="3" fillId="0" borderId="10" xfId="2" applyFont="1" applyBorder="1" applyAlignment="1" applyProtection="1">
      <alignment horizontal="right"/>
      <protection hidden="1"/>
    </xf>
    <xf numFmtId="0" fontId="3" fillId="0" borderId="1" xfId="2" applyFont="1" applyBorder="1" applyAlignment="1" applyProtection="1">
      <alignment horizontal="right" vertical="center"/>
      <protection hidden="1"/>
    </xf>
    <xf numFmtId="0" fontId="6" fillId="2" borderId="10" xfId="0" applyFont="1" applyFill="1" applyBorder="1" applyAlignment="1" applyProtection="1">
      <alignment vertical="center"/>
      <protection hidden="1"/>
    </xf>
    <xf numFmtId="0" fontId="3" fillId="0" borderId="0" xfId="0" applyFont="1" applyAlignment="1" applyProtection="1">
      <alignment horizontal="left" vertical="center"/>
      <protection hidden="1"/>
    </xf>
    <xf numFmtId="0" fontId="3" fillId="2" borderId="3" xfId="2" applyFont="1" applyFill="1" applyBorder="1" applyAlignment="1" applyProtection="1">
      <alignment horizontal="right" vertical="center"/>
      <protection hidden="1"/>
    </xf>
    <xf numFmtId="0" fontId="37" fillId="2" borderId="8" xfId="2" quotePrefix="1" applyFont="1" applyFill="1" applyBorder="1" applyAlignment="1" applyProtection="1">
      <alignment vertical="center"/>
      <protection locked="0" hidden="1"/>
    </xf>
    <xf numFmtId="1" fontId="3" fillId="3" borderId="0" xfId="2" applyNumberFormat="1" applyFont="1" applyFill="1" applyAlignment="1" applyProtection="1">
      <alignment horizontal="left" vertical="center"/>
      <protection hidden="1"/>
    </xf>
    <xf numFmtId="1" fontId="3" fillId="2" borderId="0" xfId="2" applyNumberFormat="1" applyFont="1" applyFill="1" applyAlignment="1" applyProtection="1">
      <alignment vertical="center"/>
      <protection hidden="1"/>
    </xf>
    <xf numFmtId="0" fontId="16" fillId="0" borderId="0" xfId="2" applyFont="1" applyAlignment="1" applyProtection="1">
      <alignment vertical="top" wrapText="1"/>
      <protection hidden="1"/>
    </xf>
    <xf numFmtId="172" fontId="3" fillId="0" borderId="0" xfId="2" applyNumberFormat="1" applyFont="1" applyAlignment="1" applyProtection="1">
      <alignment vertical="center"/>
      <protection hidden="1"/>
    </xf>
    <xf numFmtId="1" fontId="3" fillId="0" borderId="0" xfId="2" applyNumberFormat="1" applyFont="1" applyAlignment="1" applyProtection="1">
      <alignment vertical="center"/>
      <protection hidden="1"/>
    </xf>
    <xf numFmtId="0" fontId="9" fillId="0" borderId="0" xfId="0" applyFont="1" applyAlignment="1" applyProtection="1">
      <alignment vertical="center"/>
      <protection hidden="1"/>
    </xf>
    <xf numFmtId="0" fontId="3" fillId="3" borderId="0" xfId="0" applyFont="1" applyFill="1" applyAlignment="1" applyProtection="1">
      <alignment vertical="top" wrapText="1"/>
      <protection hidden="1"/>
    </xf>
    <xf numFmtId="0" fontId="71" fillId="0" borderId="0" xfId="1" applyFont="1" applyAlignment="1" applyProtection="1">
      <alignment vertical="center"/>
      <protection hidden="1"/>
    </xf>
    <xf numFmtId="1" fontId="3" fillId="2" borderId="0" xfId="0" applyNumberFormat="1" applyFont="1" applyFill="1" applyAlignment="1" applyProtection="1">
      <alignment vertical="center"/>
      <protection hidden="1"/>
    </xf>
    <xf numFmtId="0" fontId="3" fillId="0" borderId="17" xfId="0" applyFont="1" applyBorder="1" applyAlignment="1" applyProtection="1">
      <alignment vertical="center"/>
      <protection hidden="1"/>
    </xf>
    <xf numFmtId="0" fontId="3" fillId="0" borderId="1" xfId="0" applyFont="1" applyBorder="1" applyAlignment="1" applyProtection="1">
      <alignment vertical="center"/>
      <protection hidden="1"/>
    </xf>
    <xf numFmtId="0" fontId="9" fillId="0" borderId="17" xfId="0" applyFont="1" applyBorder="1" applyAlignment="1" applyProtection="1">
      <alignment vertical="center"/>
      <protection hidden="1"/>
    </xf>
    <xf numFmtId="0" fontId="9" fillId="0" borderId="1" xfId="0" applyFont="1" applyBorder="1" applyAlignment="1" applyProtection="1">
      <alignment vertical="center"/>
      <protection hidden="1"/>
    </xf>
    <xf numFmtId="0" fontId="9" fillId="2" borderId="0" xfId="0" applyFont="1" applyFill="1" applyAlignment="1" applyProtection="1">
      <alignment horizontal="right" vertical="center"/>
      <protection hidden="1"/>
    </xf>
    <xf numFmtId="0" fontId="9" fillId="2" borderId="10" xfId="0" applyFont="1" applyFill="1" applyBorder="1" applyAlignment="1" applyProtection="1">
      <alignment horizontal="right" vertical="center"/>
      <protection hidden="1"/>
    </xf>
    <xf numFmtId="1" fontId="3" fillId="0" borderId="0" xfId="0" applyNumberFormat="1" applyFont="1" applyAlignment="1" applyProtection="1">
      <alignment vertical="center"/>
      <protection hidden="1"/>
    </xf>
    <xf numFmtId="164" fontId="3" fillId="0" borderId="0" xfId="0" applyNumberFormat="1" applyFont="1" applyAlignment="1" applyProtection="1">
      <alignment vertical="center"/>
      <protection hidden="1"/>
    </xf>
    <xf numFmtId="195" fontId="3" fillId="0" borderId="0" xfId="0" applyNumberFormat="1" applyFont="1" applyAlignment="1" applyProtection="1">
      <alignment vertical="center"/>
      <protection hidden="1"/>
    </xf>
    <xf numFmtId="0" fontId="75" fillId="7" borderId="13" xfId="1" applyFont="1" applyFill="1" applyBorder="1" applyAlignment="1" applyProtection="1">
      <alignment horizontal="center" vertical="center"/>
      <protection locked="0" hidden="1"/>
    </xf>
    <xf numFmtId="0" fontId="75" fillId="7" borderId="15" xfId="1" applyFont="1" applyFill="1" applyBorder="1" applyAlignment="1" applyProtection="1">
      <alignment vertical="center"/>
      <protection locked="0" hidden="1"/>
    </xf>
    <xf numFmtId="0" fontId="46" fillId="7" borderId="10" xfId="2" applyFont="1" applyFill="1" applyBorder="1" applyAlignment="1" applyProtection="1">
      <alignment vertical="center"/>
      <protection locked="0" hidden="1"/>
    </xf>
    <xf numFmtId="0" fontId="75" fillId="7" borderId="16" xfId="1" applyFont="1" applyFill="1" applyBorder="1" applyAlignment="1" applyProtection="1">
      <alignment horizontal="right" vertical="center"/>
      <protection locked="0" hidden="1"/>
    </xf>
    <xf numFmtId="0" fontId="46" fillId="7" borderId="10" xfId="2" applyFont="1" applyFill="1" applyBorder="1" applyAlignment="1" applyProtection="1">
      <alignment vertical="center"/>
      <protection hidden="1"/>
    </xf>
    <xf numFmtId="0" fontId="55" fillId="3" borderId="0" xfId="5" applyFont="1" applyFill="1"/>
    <xf numFmtId="0" fontId="55" fillId="3" borderId="12" xfId="5" applyFont="1" applyFill="1" applyBorder="1"/>
    <xf numFmtId="0" fontId="2" fillId="8" borderId="0" xfId="4" applyFill="1"/>
    <xf numFmtId="0" fontId="76" fillId="3" borderId="13" xfId="5" applyFont="1" applyFill="1" applyBorder="1" applyAlignment="1">
      <alignment vertical="center"/>
    </xf>
    <xf numFmtId="0" fontId="77" fillId="3" borderId="13" xfId="5" applyFont="1" applyFill="1" applyBorder="1"/>
    <xf numFmtId="0" fontId="78" fillId="3" borderId="13" xfId="5" applyFont="1" applyFill="1" applyBorder="1" applyAlignment="1">
      <alignment vertical="center"/>
    </xf>
    <xf numFmtId="0" fontId="78" fillId="3" borderId="14" xfId="5" applyFont="1" applyFill="1" applyBorder="1" applyAlignment="1">
      <alignment vertical="center"/>
    </xf>
    <xf numFmtId="0" fontId="77" fillId="3" borderId="0" xfId="5" applyFont="1" applyFill="1"/>
    <xf numFmtId="167" fontId="76" fillId="3" borderId="0" xfId="5" applyNumberFormat="1" applyFont="1" applyFill="1"/>
    <xf numFmtId="190" fontId="76" fillId="3" borderId="0" xfId="5" applyNumberFormat="1" applyFont="1" applyFill="1"/>
    <xf numFmtId="0" fontId="76" fillId="3" borderId="0" xfId="5" applyFont="1" applyFill="1" applyAlignment="1">
      <alignment vertical="center"/>
    </xf>
    <xf numFmtId="191" fontId="76" fillId="3" borderId="0" xfId="5" applyNumberFormat="1" applyFont="1" applyFill="1" applyAlignment="1">
      <alignment vertical="center" wrapText="1"/>
    </xf>
    <xf numFmtId="192" fontId="80" fillId="3" borderId="17" xfId="5" applyNumberFormat="1" applyFont="1" applyFill="1" applyBorder="1"/>
    <xf numFmtId="192" fontId="80" fillId="3" borderId="0" xfId="5" applyNumberFormat="1" applyFont="1" applyFill="1"/>
    <xf numFmtId="0" fontId="80" fillId="3" borderId="0" xfId="5" applyFont="1" applyFill="1"/>
    <xf numFmtId="175" fontId="76" fillId="3" borderId="0" xfId="5" applyNumberFormat="1" applyFont="1" applyFill="1" applyAlignment="1">
      <alignment vertical="center" wrapText="1"/>
    </xf>
    <xf numFmtId="173" fontId="76" fillId="3" borderId="0" xfId="5" applyNumberFormat="1" applyFont="1" applyFill="1" applyAlignment="1">
      <alignment vertical="center"/>
    </xf>
    <xf numFmtId="173" fontId="81" fillId="3" borderId="0" xfId="5" applyNumberFormat="1" applyFont="1" applyFill="1" applyAlignment="1">
      <alignment vertical="center" wrapText="1"/>
    </xf>
    <xf numFmtId="173" fontId="81" fillId="3" borderId="1" xfId="5" applyNumberFormat="1" applyFont="1" applyFill="1" applyBorder="1" applyAlignment="1">
      <alignment vertical="center" wrapText="1"/>
    </xf>
    <xf numFmtId="0" fontId="84" fillId="3" borderId="0" xfId="5" applyFont="1" applyFill="1" applyAlignment="1">
      <alignment vertical="center"/>
    </xf>
    <xf numFmtId="0" fontId="84" fillId="3" borderId="1" xfId="5" applyFont="1" applyFill="1" applyBorder="1" applyAlignment="1">
      <alignment vertical="center"/>
    </xf>
    <xf numFmtId="0" fontId="85" fillId="3" borderId="0" xfId="5" applyFont="1" applyFill="1"/>
    <xf numFmtId="0" fontId="85" fillId="3" borderId="1" xfId="5" applyFont="1" applyFill="1" applyBorder="1"/>
    <xf numFmtId="0" fontId="86" fillId="3" borderId="10" xfId="5" applyFont="1" applyFill="1" applyBorder="1" applyAlignment="1">
      <alignment vertical="center"/>
    </xf>
    <xf numFmtId="0" fontId="86" fillId="3" borderId="16" xfId="5" applyFont="1" applyFill="1" applyBorder="1" applyAlignment="1">
      <alignment vertical="center"/>
    </xf>
    <xf numFmtId="0" fontId="3" fillId="3" borderId="12" xfId="0" applyFont="1" applyFill="1" applyBorder="1" applyAlignment="1" applyProtection="1">
      <alignment vertical="center"/>
      <protection hidden="1"/>
    </xf>
    <xf numFmtId="0" fontId="11" fillId="3" borderId="26" xfId="0" applyFont="1" applyFill="1" applyBorder="1" applyAlignment="1" applyProtection="1">
      <alignment horizontal="center" vertical="center"/>
      <protection hidden="1"/>
    </xf>
    <xf numFmtId="0" fontId="40" fillId="3" borderId="13" xfId="0" applyFont="1" applyFill="1" applyBorder="1" applyAlignment="1" applyProtection="1">
      <alignment horizontal="center" vertical="center"/>
      <protection hidden="1"/>
    </xf>
    <xf numFmtId="0" fontId="41" fillId="3" borderId="26" xfId="0" applyFont="1" applyFill="1" applyBorder="1" applyAlignment="1" applyProtection="1">
      <alignment horizontal="center" vertical="center"/>
      <protection hidden="1"/>
    </xf>
    <xf numFmtId="0" fontId="42" fillId="3" borderId="14" xfId="0" applyFont="1" applyFill="1" applyBorder="1" applyAlignment="1" applyProtection="1">
      <alignment horizontal="center" vertical="center"/>
      <protection hidden="1"/>
    </xf>
    <xf numFmtId="0" fontId="9" fillId="3" borderId="17" xfId="0" applyFont="1" applyFill="1" applyBorder="1" applyAlignment="1" applyProtection="1">
      <alignment vertical="center"/>
      <protection hidden="1"/>
    </xf>
    <xf numFmtId="0" fontId="9" fillId="3" borderId="15" xfId="0" applyFont="1" applyFill="1" applyBorder="1" applyAlignment="1" applyProtection="1">
      <alignment vertical="center"/>
      <protection hidden="1"/>
    </xf>
    <xf numFmtId="0" fontId="11" fillId="3" borderId="13" xfId="0" applyFont="1" applyFill="1" applyBorder="1" applyAlignment="1" applyProtection="1">
      <alignment vertical="center"/>
      <protection hidden="1"/>
    </xf>
    <xf numFmtId="0" fontId="41" fillId="3" borderId="13" xfId="0" applyFont="1" applyFill="1" applyBorder="1" applyAlignment="1" applyProtection="1">
      <alignment horizontal="center" vertical="center"/>
      <protection hidden="1"/>
    </xf>
    <xf numFmtId="0" fontId="42" fillId="3" borderId="13" xfId="0" applyFont="1" applyFill="1" applyBorder="1" applyAlignment="1" applyProtection="1">
      <alignment horizontal="center" vertical="center"/>
      <protection hidden="1"/>
    </xf>
    <xf numFmtId="0" fontId="11" fillId="3" borderId="14" xfId="0" applyFont="1" applyFill="1" applyBorder="1" applyAlignment="1" applyProtection="1">
      <alignment horizontal="center" vertical="center"/>
      <protection hidden="1"/>
    </xf>
    <xf numFmtId="0" fontId="9" fillId="3" borderId="17" xfId="0" applyFont="1" applyFill="1" applyBorder="1" applyAlignment="1" applyProtection="1">
      <alignment horizontal="left" vertical="center"/>
      <protection hidden="1"/>
    </xf>
    <xf numFmtId="0" fontId="9" fillId="3" borderId="15" xfId="0" applyFont="1" applyFill="1" applyBorder="1" applyAlignment="1" applyProtection="1">
      <alignment horizontal="left" vertical="center"/>
      <protection hidden="1"/>
    </xf>
    <xf numFmtId="164" fontId="30" fillId="3" borderId="1" xfId="0" applyNumberFormat="1" applyFont="1" applyFill="1" applyBorder="1" applyAlignment="1" applyProtection="1">
      <alignment vertical="center"/>
      <protection hidden="1"/>
    </xf>
    <xf numFmtId="164" fontId="30" fillId="3" borderId="16" xfId="0" applyNumberFormat="1" applyFont="1" applyFill="1" applyBorder="1" applyAlignment="1" applyProtection="1">
      <alignment vertical="center"/>
      <protection hidden="1"/>
    </xf>
    <xf numFmtId="0" fontId="74" fillId="3" borderId="0" xfId="0" applyFont="1" applyFill="1"/>
    <xf numFmtId="0" fontId="74" fillId="3" borderId="11" xfId="0" applyFont="1" applyFill="1" applyBorder="1"/>
    <xf numFmtId="0" fontId="14" fillId="5" borderId="12" xfId="2" applyFont="1" applyFill="1" applyBorder="1" applyAlignment="1" applyProtection="1">
      <alignment vertical="center"/>
      <protection hidden="1"/>
    </xf>
    <xf numFmtId="0" fontId="14" fillId="5" borderId="13" xfId="2" applyFont="1" applyFill="1" applyBorder="1" applyAlignment="1" applyProtection="1">
      <alignment vertical="center"/>
      <protection hidden="1"/>
    </xf>
    <xf numFmtId="0" fontId="14" fillId="5" borderId="14" xfId="2" applyFont="1" applyFill="1" applyBorder="1" applyAlignment="1" applyProtection="1">
      <alignment vertical="center"/>
      <protection hidden="1"/>
    </xf>
    <xf numFmtId="0" fontId="14" fillId="5" borderId="17" xfId="2" applyFont="1" applyFill="1" applyBorder="1" applyAlignment="1" applyProtection="1">
      <alignment vertical="center"/>
      <protection hidden="1"/>
    </xf>
    <xf numFmtId="0" fontId="14" fillId="5" borderId="0" xfId="2" applyFont="1" applyFill="1" applyAlignment="1" applyProtection="1">
      <alignment vertical="center"/>
      <protection hidden="1"/>
    </xf>
    <xf numFmtId="0" fontId="14" fillId="5" borderId="1" xfId="2" applyFont="1" applyFill="1" applyBorder="1" applyAlignment="1" applyProtection="1">
      <alignment vertical="center"/>
      <protection hidden="1"/>
    </xf>
    <xf numFmtId="0" fontId="14" fillId="5" borderId="15" xfId="2" applyFont="1" applyFill="1" applyBorder="1" applyAlignment="1" applyProtection="1">
      <alignment vertical="center"/>
      <protection hidden="1"/>
    </xf>
    <xf numFmtId="0" fontId="14" fillId="5" borderId="10" xfId="2" applyFont="1" applyFill="1" applyBorder="1" applyAlignment="1" applyProtection="1">
      <alignment vertical="center"/>
      <protection hidden="1"/>
    </xf>
    <xf numFmtId="0" fontId="14" fillId="5" borderId="16" xfId="2" applyFont="1" applyFill="1" applyBorder="1" applyAlignment="1" applyProtection="1">
      <alignment vertical="center"/>
      <protection hidden="1"/>
    </xf>
    <xf numFmtId="0" fontId="0" fillId="3" borderId="0" xfId="0" applyFill="1"/>
    <xf numFmtId="0" fontId="87" fillId="3" borderId="11" xfId="0" applyFont="1" applyFill="1" applyBorder="1"/>
    <xf numFmtId="0" fontId="3" fillId="3" borderId="0" xfId="0" applyFont="1" applyFill="1"/>
    <xf numFmtId="0" fontId="88" fillId="3" borderId="13" xfId="5" applyFont="1" applyFill="1" applyBorder="1" applyAlignment="1">
      <alignment vertical="center"/>
    </xf>
    <xf numFmtId="0" fontId="85" fillId="3" borderId="13" xfId="5" applyFont="1" applyFill="1" applyBorder="1"/>
    <xf numFmtId="0" fontId="89" fillId="3" borderId="13" xfId="5" applyFont="1" applyFill="1" applyBorder="1" applyAlignment="1">
      <alignment vertical="center"/>
    </xf>
    <xf numFmtId="0" fontId="89" fillId="3" borderId="14" xfId="5" applyFont="1" applyFill="1" applyBorder="1" applyAlignment="1">
      <alignment vertical="center"/>
    </xf>
    <xf numFmtId="167" fontId="88" fillId="3" borderId="0" xfId="5" applyNumberFormat="1" applyFont="1" applyFill="1"/>
    <xf numFmtId="190" fontId="88" fillId="3" borderId="0" xfId="5" applyNumberFormat="1" applyFont="1" applyFill="1"/>
    <xf numFmtId="173" fontId="88" fillId="3" borderId="0" xfId="5" applyNumberFormat="1" applyFont="1" applyFill="1" applyAlignment="1">
      <alignment vertical="center"/>
    </xf>
    <xf numFmtId="173" fontId="90" fillId="3" borderId="0" xfId="5" applyNumberFormat="1" applyFont="1" applyFill="1" applyAlignment="1">
      <alignment vertical="center" wrapText="1"/>
    </xf>
    <xf numFmtId="173" fontId="90" fillId="3" borderId="1" xfId="5" applyNumberFormat="1" applyFont="1" applyFill="1" applyBorder="1" applyAlignment="1">
      <alignment vertical="center" wrapText="1"/>
    </xf>
    <xf numFmtId="0" fontId="88" fillId="3" borderId="0" xfId="5" applyFont="1" applyFill="1" applyAlignment="1">
      <alignment vertical="center"/>
    </xf>
    <xf numFmtId="191" fontId="88" fillId="3" borderId="0" xfId="5" applyNumberFormat="1" applyFont="1" applyFill="1" applyAlignment="1">
      <alignment vertical="center" wrapText="1"/>
    </xf>
    <xf numFmtId="192" fontId="91" fillId="3" borderId="17" xfId="5" applyNumberFormat="1" applyFont="1" applyFill="1" applyBorder="1"/>
    <xf numFmtId="192" fontId="91" fillId="3" borderId="0" xfId="5" applyNumberFormat="1" applyFont="1" applyFill="1"/>
    <xf numFmtId="0" fontId="91" fillId="3" borderId="0" xfId="5" applyFont="1" applyFill="1"/>
    <xf numFmtId="175" fontId="88" fillId="3" borderId="0" xfId="5" applyNumberFormat="1" applyFont="1" applyFill="1" applyAlignment="1">
      <alignment vertical="center" wrapText="1"/>
    </xf>
    <xf numFmtId="0" fontId="94" fillId="3" borderId="0" xfId="0" applyFont="1" applyFill="1" applyAlignment="1">
      <alignment horizontal="center"/>
    </xf>
    <xf numFmtId="0" fontId="94" fillId="3" borderId="0" xfId="0" applyFont="1" applyFill="1" applyAlignment="1">
      <alignment horizontal="center" vertical="center"/>
    </xf>
    <xf numFmtId="0" fontId="0" fillId="3" borderId="0" xfId="0" applyFill="1" applyAlignment="1">
      <alignment vertical="center"/>
    </xf>
    <xf numFmtId="0" fontId="17" fillId="3" borderId="0" xfId="0" applyFont="1" applyFill="1"/>
    <xf numFmtId="14" fontId="50" fillId="3" borderId="0" xfId="0" applyNumberFormat="1" applyFont="1" applyFill="1"/>
    <xf numFmtId="0" fontId="50" fillId="3" borderId="0" xfId="0" applyFont="1" applyFill="1" applyAlignment="1">
      <alignment horizontal="right"/>
    </xf>
    <xf numFmtId="0" fontId="97" fillId="7" borderId="12" xfId="2" applyFont="1" applyFill="1" applyBorder="1" applyAlignment="1" applyProtection="1">
      <alignment vertical="center"/>
      <protection locked="0" hidden="1"/>
    </xf>
    <xf numFmtId="0" fontId="97" fillId="7" borderId="14" xfId="2" applyFont="1" applyFill="1" applyBorder="1" applyAlignment="1" applyProtection="1">
      <alignment vertical="center"/>
      <protection locked="0" hidden="1"/>
    </xf>
    <xf numFmtId="0" fontId="97" fillId="7" borderId="10" xfId="2" applyFont="1" applyFill="1" applyBorder="1" applyAlignment="1" applyProtection="1">
      <alignment vertical="center"/>
      <protection locked="0" hidden="1"/>
    </xf>
    <xf numFmtId="0" fontId="94" fillId="3" borderId="0" xfId="0" applyFont="1" applyFill="1"/>
    <xf numFmtId="0" fontId="50" fillId="3" borderId="0" xfId="0" applyFont="1" applyFill="1" applyAlignment="1">
      <alignment horizontal="center"/>
    </xf>
    <xf numFmtId="14" fontId="6" fillId="3" borderId="0" xfId="0" applyNumberFormat="1" applyFont="1" applyFill="1" applyAlignment="1">
      <alignment horizontal="right"/>
    </xf>
    <xf numFmtId="14" fontId="6" fillId="3" borderId="0" xfId="0" applyNumberFormat="1" applyFont="1" applyFill="1" applyAlignment="1">
      <alignment horizontal="left"/>
    </xf>
    <xf numFmtId="0" fontId="99" fillId="3" borderId="0" xfId="0" applyFont="1" applyFill="1" applyAlignment="1">
      <alignment vertical="center"/>
    </xf>
    <xf numFmtId="0" fontId="12" fillId="9" borderId="11" xfId="2" applyFont="1" applyFill="1" applyBorder="1" applyAlignment="1" applyProtection="1">
      <alignment horizontal="center" vertical="center"/>
      <protection hidden="1"/>
    </xf>
    <xf numFmtId="0" fontId="36" fillId="9" borderId="11" xfId="0" applyFont="1" applyFill="1" applyBorder="1" applyAlignment="1" applyProtection="1">
      <alignment horizontal="center" vertical="center"/>
      <protection hidden="1"/>
    </xf>
    <xf numFmtId="0" fontId="12" fillId="9" borderId="11" xfId="2" applyFont="1" applyFill="1" applyBorder="1" applyAlignment="1" applyProtection="1">
      <alignment vertical="center"/>
      <protection hidden="1"/>
    </xf>
    <xf numFmtId="0" fontId="12" fillId="9" borderId="11" xfId="0" applyFont="1" applyFill="1" applyBorder="1" applyAlignment="1" applyProtection="1">
      <alignment horizontal="center" vertical="center"/>
      <protection hidden="1"/>
    </xf>
    <xf numFmtId="164" fontId="12" fillId="9" borderId="11" xfId="0" applyNumberFormat="1" applyFont="1" applyFill="1" applyBorder="1" applyAlignment="1" applyProtection="1">
      <alignment horizontal="center" vertical="center"/>
      <protection hidden="1"/>
    </xf>
    <xf numFmtId="0" fontId="12" fillId="9" borderId="25" xfId="0" applyFont="1" applyFill="1" applyBorder="1" applyAlignment="1" applyProtection="1">
      <alignment horizontal="center" vertical="center"/>
      <protection hidden="1"/>
    </xf>
    <xf numFmtId="165" fontId="3" fillId="3" borderId="0" xfId="0" applyNumberFormat="1" applyFont="1" applyFill="1" applyAlignment="1" applyProtection="1">
      <alignment horizontal="right" vertical="center"/>
      <protection hidden="1"/>
    </xf>
    <xf numFmtId="1" fontId="3" fillId="3" borderId="0" xfId="0" applyNumberFormat="1" applyFont="1" applyFill="1" applyAlignment="1" applyProtection="1">
      <alignment horizontal="right" vertical="center"/>
      <protection hidden="1"/>
    </xf>
    <xf numFmtId="179" fontId="3" fillId="3" borderId="0" xfId="0" applyNumberFormat="1" applyFont="1" applyFill="1" applyAlignment="1" applyProtection="1">
      <alignment horizontal="left" vertical="center"/>
      <protection hidden="1"/>
    </xf>
    <xf numFmtId="0" fontId="97" fillId="0" borderId="0" xfId="2" applyFont="1" applyAlignment="1" applyProtection="1">
      <alignment horizontal="center" vertical="center"/>
      <protection hidden="1"/>
    </xf>
    <xf numFmtId="49" fontId="74" fillId="3" borderId="0" xfId="0" applyNumberFormat="1" applyFont="1" applyFill="1" applyAlignment="1">
      <alignment horizontal="right"/>
    </xf>
    <xf numFmtId="49" fontId="74" fillId="3" borderId="11" xfId="0" applyNumberFormat="1" applyFont="1" applyFill="1" applyBorder="1" applyAlignment="1">
      <alignment horizontal="right"/>
    </xf>
    <xf numFmtId="0" fontId="14" fillId="4" borderId="0" xfId="2" applyFont="1" applyFill="1" applyAlignment="1" applyProtection="1">
      <alignment vertical="center"/>
      <protection hidden="1"/>
    </xf>
    <xf numFmtId="168" fontId="14" fillId="4" borderId="0" xfId="2" applyNumberFormat="1" applyFont="1" applyFill="1" applyAlignment="1" applyProtection="1">
      <alignment vertical="center"/>
      <protection hidden="1"/>
    </xf>
    <xf numFmtId="171" fontId="14" fillId="4" borderId="0" xfId="2" applyNumberFormat="1" applyFont="1" applyFill="1" applyAlignment="1" applyProtection="1">
      <alignment vertical="center"/>
      <protection hidden="1"/>
    </xf>
    <xf numFmtId="188" fontId="14" fillId="4" borderId="0" xfId="2" applyNumberFormat="1" applyFont="1" applyFill="1" applyAlignment="1" applyProtection="1">
      <alignment vertical="center"/>
      <protection hidden="1"/>
    </xf>
    <xf numFmtId="196" fontId="14" fillId="4" borderId="17" xfId="2" applyNumberFormat="1" applyFont="1" applyFill="1" applyBorder="1" applyAlignment="1" applyProtection="1">
      <alignment vertical="center"/>
      <protection hidden="1"/>
    </xf>
    <xf numFmtId="0" fontId="14" fillId="4" borderId="14" xfId="2" applyFont="1" applyFill="1" applyBorder="1" applyAlignment="1" applyProtection="1">
      <alignment vertical="center"/>
      <protection hidden="1"/>
    </xf>
    <xf numFmtId="0" fontId="97" fillId="0" borderId="0" xfId="2" applyFont="1" applyAlignment="1" applyProtection="1">
      <alignment horizontal="right" vertical="center"/>
      <protection hidden="1"/>
    </xf>
    <xf numFmtId="0" fontId="6" fillId="2" borderId="1" xfId="0" applyFont="1" applyFill="1" applyBorder="1" applyAlignment="1" applyProtection="1">
      <alignment vertical="center"/>
      <protection hidden="1"/>
    </xf>
    <xf numFmtId="0" fontId="3" fillId="2" borderId="26" xfId="0" applyFont="1" applyFill="1" applyBorder="1" applyAlignment="1" applyProtection="1">
      <alignment vertical="center"/>
      <protection hidden="1"/>
    </xf>
    <xf numFmtId="0" fontId="14" fillId="4" borderId="11" xfId="0" applyFont="1" applyFill="1" applyBorder="1" applyAlignment="1" applyProtection="1">
      <alignment vertical="center"/>
      <protection hidden="1"/>
    </xf>
    <xf numFmtId="0" fontId="3" fillId="4" borderId="17" xfId="0" applyFont="1" applyFill="1" applyBorder="1" applyAlignment="1" applyProtection="1">
      <alignment vertical="center"/>
      <protection hidden="1"/>
    </xf>
    <xf numFmtId="0" fontId="3" fillId="4" borderId="1" xfId="0" applyFont="1" applyFill="1" applyBorder="1" applyAlignment="1" applyProtection="1">
      <alignment vertical="center"/>
      <protection hidden="1"/>
    </xf>
    <xf numFmtId="2" fontId="14" fillId="4" borderId="17" xfId="0" applyNumberFormat="1" applyFont="1" applyFill="1" applyBorder="1" applyAlignment="1" applyProtection="1">
      <alignment vertical="center"/>
      <protection hidden="1"/>
    </xf>
    <xf numFmtId="2" fontId="14" fillId="4" borderId="1" xfId="0" applyNumberFormat="1" applyFont="1" applyFill="1" applyBorder="1" applyAlignment="1" applyProtection="1">
      <alignment vertical="center"/>
      <protection hidden="1"/>
    </xf>
    <xf numFmtId="2" fontId="14" fillId="4" borderId="15" xfId="0" applyNumberFormat="1" applyFont="1" applyFill="1" applyBorder="1" applyAlignment="1" applyProtection="1">
      <alignment vertical="center"/>
      <protection hidden="1"/>
    </xf>
    <xf numFmtId="2" fontId="14" fillId="4" borderId="16" xfId="0" applyNumberFormat="1" applyFont="1" applyFill="1" applyBorder="1" applyAlignment="1" applyProtection="1">
      <alignment vertical="center"/>
      <protection hidden="1"/>
    </xf>
    <xf numFmtId="194" fontId="3" fillId="0" borderId="0" xfId="0" applyNumberFormat="1" applyFont="1" applyAlignment="1" applyProtection="1">
      <alignment vertical="center"/>
      <protection hidden="1"/>
    </xf>
    <xf numFmtId="0" fontId="9" fillId="0" borderId="10" xfId="2" applyFont="1" applyBorder="1" applyAlignment="1" applyProtection="1">
      <alignment horizontal="center" vertical="center"/>
      <protection hidden="1"/>
    </xf>
    <xf numFmtId="0" fontId="9" fillId="0" borderId="0" xfId="2" applyFont="1" applyAlignment="1" applyProtection="1">
      <alignment horizontal="center" vertical="center"/>
      <protection hidden="1"/>
    </xf>
    <xf numFmtId="172" fontId="3" fillId="0" borderId="10" xfId="0" applyNumberFormat="1" applyFont="1" applyBorder="1" applyAlignment="1" applyProtection="1">
      <alignment horizontal="right" vertical="center"/>
      <protection hidden="1"/>
    </xf>
    <xf numFmtId="172" fontId="3" fillId="0" borderId="0" xfId="0" applyNumberFormat="1" applyFont="1" applyAlignment="1" applyProtection="1">
      <alignment horizontal="right" vertical="center"/>
      <protection hidden="1"/>
    </xf>
    <xf numFmtId="172" fontId="3" fillId="0" borderId="8" xfId="0" applyNumberFormat="1" applyFont="1" applyBorder="1" applyAlignment="1" applyProtection="1">
      <alignment horizontal="right" vertical="center"/>
      <protection hidden="1"/>
    </xf>
    <xf numFmtId="0" fontId="9" fillId="0" borderId="8" xfId="2" applyFont="1" applyBorder="1" applyAlignment="1" applyProtection="1">
      <alignment horizontal="center" vertical="center"/>
      <protection hidden="1"/>
    </xf>
    <xf numFmtId="165" fontId="3" fillId="0" borderId="0" xfId="0" applyNumberFormat="1" applyFont="1" applyAlignment="1" applyProtection="1">
      <alignment horizontal="right" vertical="center"/>
      <protection hidden="1"/>
    </xf>
    <xf numFmtId="164" fontId="3" fillId="0" borderId="0" xfId="0" applyNumberFormat="1" applyFont="1" applyAlignment="1" applyProtection="1">
      <alignment horizontal="right" vertical="center"/>
      <protection hidden="1"/>
    </xf>
    <xf numFmtId="181" fontId="3" fillId="3" borderId="0" xfId="0" applyNumberFormat="1" applyFont="1" applyFill="1" applyAlignment="1" applyProtection="1">
      <alignment horizontal="left" vertical="center"/>
      <protection hidden="1"/>
    </xf>
    <xf numFmtId="167" fontId="3" fillId="0" borderId="0" xfId="2" applyNumberFormat="1" applyFont="1" applyAlignment="1" applyProtection="1">
      <alignment horizontal="left" vertical="center"/>
      <protection hidden="1"/>
    </xf>
    <xf numFmtId="166" fontId="3" fillId="0" borderId="0" xfId="2" applyNumberFormat="1" applyFont="1" applyAlignment="1" applyProtection="1">
      <alignment horizontal="right" vertical="center"/>
      <protection hidden="1"/>
    </xf>
    <xf numFmtId="0" fontId="61" fillId="0" borderId="0" xfId="2" applyFont="1" applyAlignment="1" applyProtection="1">
      <alignment horizontal="center" vertical="center"/>
      <protection hidden="1"/>
    </xf>
    <xf numFmtId="0" fontId="36" fillId="0" borderId="25" xfId="2" applyFont="1" applyBorder="1" applyAlignment="1" applyProtection="1">
      <alignment horizontal="left" vertical="top"/>
      <protection hidden="1"/>
    </xf>
    <xf numFmtId="0" fontId="36" fillId="0" borderId="26" xfId="2" applyFont="1" applyBorder="1" applyAlignment="1" applyProtection="1">
      <alignment horizontal="left" vertical="top"/>
      <protection hidden="1"/>
    </xf>
    <xf numFmtId="0" fontId="18" fillId="0" borderId="26" xfId="2" applyFont="1" applyBorder="1" applyAlignment="1" applyProtection="1">
      <alignment horizontal="left" vertical="top"/>
      <protection hidden="1"/>
    </xf>
    <xf numFmtId="0" fontId="18" fillId="0" borderId="25" xfId="2" applyFont="1" applyBorder="1" applyAlignment="1" applyProtection="1">
      <alignment horizontal="left" vertical="top"/>
      <protection hidden="1"/>
    </xf>
    <xf numFmtId="0" fontId="44" fillId="3" borderId="0" xfId="1" applyFont="1" applyFill="1" applyAlignment="1" applyProtection="1">
      <alignment vertical="center"/>
      <protection hidden="1"/>
    </xf>
    <xf numFmtId="173" fontId="9" fillId="3" borderId="0" xfId="2" applyNumberFormat="1" applyFont="1" applyFill="1" applyProtection="1">
      <protection hidden="1"/>
    </xf>
    <xf numFmtId="176" fontId="32" fillId="3" borderId="0" xfId="2" applyNumberFormat="1" applyFont="1" applyFill="1" applyAlignment="1" applyProtection="1">
      <alignment horizontal="center" vertical="center"/>
      <protection hidden="1"/>
    </xf>
    <xf numFmtId="0" fontId="3" fillId="3" borderId="0" xfId="0" applyFont="1" applyFill="1" applyAlignment="1" applyProtection="1">
      <alignment vertical="top"/>
      <protection hidden="1"/>
    </xf>
    <xf numFmtId="0" fontId="55" fillId="3" borderId="12" xfId="4" applyFont="1" applyFill="1" applyBorder="1" applyAlignment="1">
      <alignment vertical="top"/>
    </xf>
    <xf numFmtId="0" fontId="2" fillId="3" borderId="35" xfId="4" applyFill="1" applyBorder="1"/>
    <xf numFmtId="0" fontId="54" fillId="3" borderId="17" xfId="4" applyFont="1" applyFill="1" applyBorder="1" applyAlignment="1">
      <alignment horizontal="center" vertical="center" wrapText="1"/>
    </xf>
    <xf numFmtId="0" fontId="54" fillId="3" borderId="0" xfId="4" applyFont="1" applyFill="1"/>
    <xf numFmtId="0" fontId="53" fillId="3" borderId="0" xfId="1" applyFont="1" applyFill="1" applyAlignment="1" applyProtection="1"/>
    <xf numFmtId="0" fontId="2" fillId="3" borderId="26" xfId="4" applyFill="1" applyBorder="1"/>
    <xf numFmtId="0" fontId="2" fillId="3" borderId="25" xfId="4" applyFill="1" applyBorder="1"/>
    <xf numFmtId="0" fontId="55" fillId="3" borderId="29" xfId="4" applyFont="1" applyFill="1" applyBorder="1" applyAlignment="1">
      <alignment vertical="top"/>
    </xf>
    <xf numFmtId="14" fontId="0" fillId="0" borderId="0" xfId="0" applyNumberFormat="1"/>
    <xf numFmtId="1" fontId="0" fillId="0" borderId="0" xfId="0" applyNumberFormat="1"/>
    <xf numFmtId="0" fontId="12" fillId="0" borderId="0" xfId="2" applyFont="1" applyAlignment="1" applyProtection="1">
      <alignment vertical="center"/>
      <protection hidden="1"/>
    </xf>
    <xf numFmtId="0" fontId="3" fillId="2" borderId="10" xfId="2" applyFont="1" applyFill="1" applyBorder="1" applyAlignment="1" applyProtection="1">
      <alignment horizontal="right" vertical="center"/>
      <protection hidden="1"/>
    </xf>
    <xf numFmtId="172" fontId="3" fillId="0" borderId="10" xfId="2" applyNumberFormat="1" applyFont="1" applyBorder="1" applyAlignment="1" applyProtection="1">
      <alignment vertical="center"/>
      <protection hidden="1"/>
    </xf>
    <xf numFmtId="0" fontId="3" fillId="3" borderId="26" xfId="2" applyFont="1" applyFill="1" applyBorder="1" applyAlignment="1" applyProtection="1">
      <alignment vertical="center"/>
      <protection hidden="1"/>
    </xf>
    <xf numFmtId="0" fontId="3" fillId="2" borderId="26" xfId="2" applyFont="1" applyFill="1" applyBorder="1" applyAlignment="1" applyProtection="1">
      <alignment horizontal="right" vertical="center"/>
      <protection hidden="1"/>
    </xf>
    <xf numFmtId="1" fontId="3" fillId="0" borderId="26" xfId="2" applyNumberFormat="1" applyFont="1" applyBorder="1" applyAlignment="1" applyProtection="1">
      <alignment vertical="center"/>
      <protection hidden="1"/>
    </xf>
    <xf numFmtId="172" fontId="3" fillId="0" borderId="26" xfId="2" applyNumberFormat="1" applyFont="1" applyBorder="1" applyAlignment="1" applyProtection="1">
      <alignment vertical="center"/>
      <protection hidden="1"/>
    </xf>
    <xf numFmtId="0" fontId="3" fillId="2" borderId="26" xfId="2" applyFont="1" applyFill="1" applyBorder="1" applyAlignment="1" applyProtection="1">
      <alignment vertical="center"/>
      <protection hidden="1"/>
    </xf>
    <xf numFmtId="172" fontId="3" fillId="0" borderId="0" xfId="0" applyNumberFormat="1" applyFont="1" applyAlignment="1" applyProtection="1">
      <alignment vertical="center"/>
      <protection hidden="1"/>
    </xf>
    <xf numFmtId="185" fontId="3" fillId="0" borderId="0" xfId="3" applyNumberFormat="1" applyFont="1" applyAlignment="1" applyProtection="1">
      <alignment vertical="center"/>
      <protection hidden="1"/>
    </xf>
    <xf numFmtId="0" fontId="49" fillId="0" borderId="0" xfId="2" applyFont="1" applyAlignment="1" applyProtection="1">
      <alignment horizontal="center" vertical="center"/>
      <protection hidden="1"/>
    </xf>
    <xf numFmtId="171" fontId="3" fillId="3" borderId="0" xfId="2" applyNumberFormat="1" applyFont="1" applyFill="1" applyAlignment="1" applyProtection="1">
      <alignment horizontal="left" vertical="center"/>
      <protection hidden="1"/>
    </xf>
    <xf numFmtId="0" fontId="17" fillId="10" borderId="11" xfId="0" applyFont="1" applyFill="1" applyBorder="1"/>
    <xf numFmtId="0" fontId="11" fillId="7" borderId="0" xfId="2" applyFont="1" applyFill="1" applyAlignment="1" applyProtection="1">
      <alignment vertical="center"/>
      <protection hidden="1"/>
    </xf>
    <xf numFmtId="0" fontId="3" fillId="7" borderId="12" xfId="2" applyFont="1" applyFill="1" applyBorder="1" applyAlignment="1" applyProtection="1">
      <alignment vertical="center"/>
      <protection hidden="1"/>
    </xf>
    <xf numFmtId="0" fontId="3" fillId="7" borderId="13" xfId="2" applyFont="1" applyFill="1" applyBorder="1" applyAlignment="1" applyProtection="1">
      <alignment vertical="center"/>
      <protection hidden="1"/>
    </xf>
    <xf numFmtId="0" fontId="3" fillId="7" borderId="14" xfId="2" applyFont="1" applyFill="1" applyBorder="1" applyAlignment="1" applyProtection="1">
      <alignment vertical="center"/>
      <protection hidden="1"/>
    </xf>
    <xf numFmtId="0" fontId="3" fillId="7" borderId="15" xfId="2" applyFont="1" applyFill="1" applyBorder="1" applyAlignment="1" applyProtection="1">
      <alignment vertical="center"/>
      <protection hidden="1"/>
    </xf>
    <xf numFmtId="0" fontId="3" fillId="7" borderId="10" xfId="2" applyFont="1" applyFill="1" applyBorder="1" applyAlignment="1" applyProtection="1">
      <alignment vertical="center"/>
      <protection hidden="1"/>
    </xf>
    <xf numFmtId="0" fontId="3" fillId="7" borderId="16" xfId="2" applyFont="1" applyFill="1" applyBorder="1" applyAlignment="1" applyProtection="1">
      <alignment vertical="center"/>
      <protection hidden="1"/>
    </xf>
    <xf numFmtId="0" fontId="3" fillId="7" borderId="0" xfId="2" applyFont="1" applyFill="1" applyAlignment="1" applyProtection="1">
      <alignment vertical="center"/>
      <protection hidden="1"/>
    </xf>
    <xf numFmtId="0" fontId="3" fillId="7" borderId="1" xfId="2" applyFont="1" applyFill="1" applyBorder="1" applyAlignment="1" applyProtection="1">
      <alignment vertical="center"/>
      <protection hidden="1"/>
    </xf>
    <xf numFmtId="164" fontId="6" fillId="2" borderId="0" xfId="2" applyNumberFormat="1" applyFont="1" applyFill="1" applyAlignment="1" applyProtection="1">
      <alignment vertical="center"/>
      <protection hidden="1"/>
    </xf>
    <xf numFmtId="171" fontId="39" fillId="2" borderId="0" xfId="2" applyNumberFormat="1" applyFont="1" applyFill="1" applyAlignment="1" applyProtection="1">
      <alignment vertical="center"/>
      <protection hidden="1"/>
    </xf>
    <xf numFmtId="185" fontId="3" fillId="0" borderId="0" xfId="2" applyNumberFormat="1" applyFont="1" applyAlignment="1" applyProtection="1">
      <alignment vertical="center"/>
      <protection hidden="1"/>
    </xf>
    <xf numFmtId="0" fontId="108" fillId="0" borderId="0" xfId="2" applyFont="1" applyAlignment="1" applyProtection="1">
      <alignment horizontal="left" vertical="center"/>
      <protection hidden="1"/>
    </xf>
    <xf numFmtId="188" fontId="3" fillId="3" borderId="0" xfId="2" applyNumberFormat="1" applyFont="1" applyFill="1" applyAlignment="1" applyProtection="1">
      <alignment horizontal="left" vertical="center"/>
      <protection hidden="1"/>
    </xf>
    <xf numFmtId="188" fontId="67" fillId="3" borderId="0" xfId="2" applyNumberFormat="1" applyFont="1" applyFill="1" applyAlignment="1" applyProtection="1">
      <alignment horizontal="right" vertical="center"/>
      <protection hidden="1"/>
    </xf>
    <xf numFmtId="188" fontId="3" fillId="3" borderId="0" xfId="2" applyNumberFormat="1" applyFont="1" applyFill="1" applyAlignment="1" applyProtection="1">
      <alignment horizontal="right" vertical="center"/>
      <protection hidden="1"/>
    </xf>
    <xf numFmtId="0" fontId="72" fillId="0" borderId="0" xfId="2" applyFont="1" applyAlignment="1" applyProtection="1">
      <alignment horizontal="right" vertical="center"/>
      <protection hidden="1"/>
    </xf>
    <xf numFmtId="188" fontId="6" fillId="3" borderId="0" xfId="2" applyNumberFormat="1" applyFont="1" applyFill="1" applyAlignment="1" applyProtection="1">
      <alignment horizontal="right" vertical="center"/>
      <protection hidden="1"/>
    </xf>
    <xf numFmtId="0" fontId="9" fillId="11" borderId="12" xfId="2" applyFont="1" applyFill="1" applyBorder="1" applyAlignment="1" applyProtection="1">
      <alignment vertical="center"/>
      <protection hidden="1"/>
    </xf>
    <xf numFmtId="0" fontId="9" fillId="11" borderId="13" xfId="2" applyFont="1" applyFill="1" applyBorder="1" applyAlignment="1" applyProtection="1">
      <alignment vertical="center"/>
      <protection hidden="1"/>
    </xf>
    <xf numFmtId="0" fontId="9" fillId="11" borderId="13" xfId="2" applyFont="1" applyFill="1" applyBorder="1" applyAlignment="1" applyProtection="1">
      <alignment horizontal="right" vertical="center"/>
      <protection hidden="1"/>
    </xf>
    <xf numFmtId="0" fontId="9" fillId="11" borderId="14" xfId="2" applyFont="1" applyFill="1" applyBorder="1" applyAlignment="1" applyProtection="1">
      <alignment vertical="center"/>
      <protection hidden="1"/>
    </xf>
    <xf numFmtId="0" fontId="9" fillId="11" borderId="17" xfId="2" applyFont="1" applyFill="1" applyBorder="1" applyAlignment="1" applyProtection="1">
      <alignment vertical="center"/>
      <protection hidden="1"/>
    </xf>
    <xf numFmtId="0" fontId="11" fillId="11" borderId="17" xfId="2" applyFont="1" applyFill="1" applyBorder="1" applyAlignment="1" applyProtection="1">
      <alignment vertical="center"/>
      <protection hidden="1"/>
    </xf>
    <xf numFmtId="0" fontId="9" fillId="11" borderId="15" xfId="2" applyFont="1" applyFill="1" applyBorder="1" applyAlignment="1" applyProtection="1">
      <alignment vertical="center"/>
      <protection hidden="1"/>
    </xf>
    <xf numFmtId="0" fontId="9" fillId="11" borderId="0" xfId="2" applyFont="1" applyFill="1" applyAlignment="1" applyProtection="1">
      <alignment vertical="center"/>
      <protection hidden="1"/>
    </xf>
    <xf numFmtId="0" fontId="11" fillId="11" borderId="0" xfId="2" applyFont="1" applyFill="1" applyAlignment="1" applyProtection="1">
      <alignment vertical="top" wrapText="1" shrinkToFit="1"/>
      <protection hidden="1"/>
    </xf>
    <xf numFmtId="0" fontId="11" fillId="11" borderId="1" xfId="2" applyFont="1" applyFill="1" applyBorder="1" applyAlignment="1" applyProtection="1">
      <alignment vertical="top" wrapText="1" shrinkToFit="1"/>
      <protection hidden="1"/>
    </xf>
    <xf numFmtId="0" fontId="11" fillId="11" borderId="17" xfId="2" applyFont="1" applyFill="1" applyBorder="1" applyAlignment="1" applyProtection="1">
      <alignment vertical="top" wrapText="1" shrinkToFit="1"/>
      <protection hidden="1"/>
    </xf>
    <xf numFmtId="0" fontId="9" fillId="11" borderId="1" xfId="2" applyFont="1" applyFill="1" applyBorder="1" applyAlignment="1" applyProtection="1">
      <alignment vertical="center"/>
      <protection hidden="1"/>
    </xf>
    <xf numFmtId="0" fontId="9" fillId="11" borderId="10" xfId="2" applyFont="1" applyFill="1" applyBorder="1" applyAlignment="1" applyProtection="1">
      <alignment vertical="center"/>
      <protection hidden="1"/>
    </xf>
    <xf numFmtId="0" fontId="9" fillId="11" borderId="16" xfId="2" applyFont="1" applyFill="1" applyBorder="1" applyAlignment="1" applyProtection="1">
      <alignment vertical="center"/>
      <protection hidden="1"/>
    </xf>
    <xf numFmtId="0" fontId="9" fillId="11" borderId="0" xfId="2" applyFont="1" applyFill="1" applyAlignment="1" applyProtection="1">
      <alignment horizontal="right" vertical="center"/>
      <protection hidden="1"/>
    </xf>
    <xf numFmtId="0" fontId="11" fillId="11" borderId="0" xfId="2" applyFont="1" applyFill="1" applyAlignment="1" applyProtection="1">
      <alignment vertical="center"/>
      <protection hidden="1"/>
    </xf>
    <xf numFmtId="0" fontId="46" fillId="11" borderId="0" xfId="2" applyFont="1" applyFill="1" applyAlignment="1" applyProtection="1">
      <alignment horizontal="center" vertical="center"/>
      <protection hidden="1"/>
    </xf>
    <xf numFmtId="0" fontId="9" fillId="11" borderId="1" xfId="2" applyFont="1" applyFill="1" applyBorder="1" applyAlignment="1" applyProtection="1">
      <alignment horizontal="left" vertical="center"/>
      <protection hidden="1"/>
    </xf>
    <xf numFmtId="0" fontId="17" fillId="7" borderId="11" xfId="0" applyFont="1" applyFill="1" applyBorder="1"/>
    <xf numFmtId="0" fontId="0" fillId="11" borderId="0" xfId="0" applyFill="1"/>
    <xf numFmtId="0" fontId="17" fillId="11" borderId="0" xfId="0" applyFont="1" applyFill="1"/>
    <xf numFmtId="0" fontId="0" fillId="11" borderId="0" xfId="0" applyFill="1" applyAlignment="1">
      <alignment vertical="center"/>
    </xf>
    <xf numFmtId="0" fontId="17" fillId="11" borderId="0" xfId="0" applyFont="1" applyFill="1" applyAlignment="1">
      <alignment vertical="top"/>
    </xf>
    <xf numFmtId="0" fontId="17" fillId="11" borderId="0" xfId="0" applyFont="1" applyFill="1" applyAlignment="1">
      <alignment vertical="top" wrapText="1"/>
    </xf>
    <xf numFmtId="0" fontId="43" fillId="11" borderId="0" xfId="1" applyFont="1" applyFill="1" applyAlignment="1">
      <alignment vertical="center"/>
      <protection locked="0"/>
    </xf>
    <xf numFmtId="0" fontId="43" fillId="11" borderId="0" xfId="1" applyFont="1" applyFill="1" applyAlignment="1" applyProtection="1">
      <alignment vertical="center"/>
    </xf>
    <xf numFmtId="0" fontId="50" fillId="11" borderId="0" xfId="0" applyFont="1" applyFill="1"/>
    <xf numFmtId="0" fontId="17" fillId="11" borderId="0" xfId="0" applyFont="1" applyFill="1" applyAlignment="1">
      <alignment horizontal="left"/>
    </xf>
    <xf numFmtId="198" fontId="17" fillId="11" borderId="0" xfId="0" applyNumberFormat="1" applyFont="1" applyFill="1"/>
    <xf numFmtId="0" fontId="87" fillId="11" borderId="11" xfId="0" applyFont="1" applyFill="1" applyBorder="1"/>
    <xf numFmtId="49" fontId="87" fillId="11" borderId="11" xfId="0" applyNumberFormat="1" applyFont="1" applyFill="1" applyBorder="1" applyAlignment="1">
      <alignment horizontal="center"/>
    </xf>
    <xf numFmtId="0" fontId="9" fillId="11" borderId="1" xfId="0" applyFont="1" applyFill="1" applyBorder="1" applyProtection="1">
      <protection hidden="1"/>
    </xf>
    <xf numFmtId="0" fontId="9" fillId="11" borderId="13" xfId="0" applyFont="1" applyFill="1" applyBorder="1" applyAlignment="1" applyProtection="1">
      <alignment vertical="center"/>
      <protection hidden="1"/>
    </xf>
    <xf numFmtId="0" fontId="9" fillId="11" borderId="14" xfId="0" applyFont="1" applyFill="1" applyBorder="1" applyAlignment="1" applyProtection="1">
      <alignment vertical="center"/>
      <protection hidden="1"/>
    </xf>
    <xf numFmtId="0" fontId="3" fillId="11" borderId="0" xfId="0" applyFont="1" applyFill="1" applyAlignment="1" applyProtection="1">
      <alignment vertical="center"/>
      <protection hidden="1"/>
    </xf>
    <xf numFmtId="0" fontId="16" fillId="11" borderId="0" xfId="0" applyFont="1" applyFill="1" applyAlignment="1" applyProtection="1">
      <alignment vertical="top" wrapText="1"/>
      <protection hidden="1"/>
    </xf>
    <xf numFmtId="0" fontId="9" fillId="11" borderId="0" xfId="0" applyFont="1" applyFill="1" applyAlignment="1" applyProtection="1">
      <alignment vertical="center"/>
      <protection hidden="1"/>
    </xf>
    <xf numFmtId="0" fontId="3" fillId="11" borderId="0" xfId="0" applyFont="1" applyFill="1" applyAlignment="1" applyProtection="1">
      <alignment horizontal="left" vertical="center"/>
      <protection hidden="1"/>
    </xf>
    <xf numFmtId="0" fontId="9" fillId="11" borderId="10" xfId="0" applyFont="1" applyFill="1" applyBorder="1" applyAlignment="1" applyProtection="1">
      <alignment vertical="center"/>
      <protection hidden="1"/>
    </xf>
    <xf numFmtId="0" fontId="3" fillId="11" borderId="1" xfId="0" applyFont="1" applyFill="1" applyBorder="1" applyAlignment="1" applyProtection="1">
      <alignment vertical="center"/>
      <protection hidden="1"/>
    </xf>
    <xf numFmtId="0" fontId="9" fillId="11" borderId="1" xfId="0" applyFont="1" applyFill="1" applyBorder="1" applyAlignment="1" applyProtection="1">
      <alignment vertical="center"/>
      <protection hidden="1"/>
    </xf>
    <xf numFmtId="0" fontId="9" fillId="11" borderId="16" xfId="0" applyFont="1" applyFill="1" applyBorder="1" applyAlignment="1" applyProtection="1">
      <alignment vertical="center"/>
      <protection hidden="1"/>
    </xf>
    <xf numFmtId="0" fontId="9" fillId="11" borderId="1" xfId="0" applyFont="1" applyFill="1" applyBorder="1" applyAlignment="1" applyProtection="1">
      <alignment vertical="top" wrapText="1"/>
      <protection hidden="1"/>
    </xf>
    <xf numFmtId="0" fontId="9" fillId="11" borderId="12" xfId="0" applyFont="1" applyFill="1" applyBorder="1" applyAlignment="1" applyProtection="1">
      <alignment vertical="center"/>
      <protection hidden="1"/>
    </xf>
    <xf numFmtId="0" fontId="9" fillId="11" borderId="17" xfId="0" applyFont="1" applyFill="1" applyBorder="1" applyAlignment="1" applyProtection="1">
      <alignment vertical="center"/>
      <protection hidden="1"/>
    </xf>
    <xf numFmtId="0" fontId="36" fillId="11" borderId="0" xfId="0" applyFont="1" applyFill="1" applyAlignment="1" applyProtection="1">
      <alignment wrapText="1"/>
      <protection hidden="1"/>
    </xf>
    <xf numFmtId="0" fontId="39" fillId="11" borderId="0" xfId="0" applyFont="1" applyFill="1" applyAlignment="1" applyProtection="1">
      <alignment vertical="center"/>
      <protection hidden="1"/>
    </xf>
    <xf numFmtId="0" fontId="9" fillId="11" borderId="15" xfId="0" applyFont="1" applyFill="1" applyBorder="1" applyAlignment="1" applyProtection="1">
      <alignment vertical="center"/>
      <protection hidden="1"/>
    </xf>
    <xf numFmtId="0" fontId="3" fillId="11" borderId="1" xfId="0" applyFont="1" applyFill="1" applyBorder="1" applyAlignment="1" applyProtection="1">
      <alignment horizontal="left" vertical="center"/>
      <protection hidden="1"/>
    </xf>
    <xf numFmtId="0" fontId="18" fillId="11" borderId="0" xfId="0" applyFont="1" applyFill="1" applyAlignment="1" applyProtection="1">
      <alignment wrapText="1"/>
      <protection hidden="1"/>
    </xf>
    <xf numFmtId="0" fontId="9" fillId="11" borderId="1" xfId="0" applyFont="1" applyFill="1" applyBorder="1" applyAlignment="1" applyProtection="1">
      <alignment horizontal="left" vertical="center"/>
      <protection hidden="1"/>
    </xf>
    <xf numFmtId="0" fontId="16" fillId="11" borderId="10" xfId="0" applyFont="1" applyFill="1" applyBorder="1" applyAlignment="1" applyProtection="1">
      <alignment vertical="top" wrapText="1"/>
      <protection hidden="1"/>
    </xf>
    <xf numFmtId="0" fontId="16" fillId="11" borderId="16" xfId="0" applyFont="1" applyFill="1" applyBorder="1" applyAlignment="1" applyProtection="1">
      <alignment vertical="top" wrapText="1"/>
      <protection hidden="1"/>
    </xf>
    <xf numFmtId="0" fontId="3" fillId="11" borderId="15" xfId="0" applyFont="1" applyFill="1" applyBorder="1" applyAlignment="1" applyProtection="1">
      <alignment vertical="center"/>
      <protection hidden="1"/>
    </xf>
    <xf numFmtId="0" fontId="3" fillId="11" borderId="10" xfId="0" applyFont="1" applyFill="1" applyBorder="1" applyAlignment="1" applyProtection="1">
      <alignment vertical="center"/>
      <protection hidden="1"/>
    </xf>
    <xf numFmtId="0" fontId="3" fillId="11" borderId="16" xfId="0" applyFont="1" applyFill="1" applyBorder="1" applyAlignment="1" applyProtection="1">
      <alignment vertical="center"/>
      <protection hidden="1"/>
    </xf>
    <xf numFmtId="0" fontId="35" fillId="11" borderId="17" xfId="2" applyFont="1" applyFill="1" applyBorder="1" applyAlignment="1" applyProtection="1">
      <alignment horizontal="center" vertical="center"/>
      <protection hidden="1"/>
    </xf>
    <xf numFmtId="173" fontId="3" fillId="3" borderId="0" xfId="2" applyNumberFormat="1" applyFont="1" applyFill="1" applyAlignment="1" applyProtection="1">
      <alignment horizontal="center" vertical="center"/>
      <protection hidden="1"/>
    </xf>
    <xf numFmtId="0" fontId="71" fillId="0" borderId="10" xfId="1" applyFont="1" applyBorder="1" applyAlignment="1" applyProtection="1">
      <alignment vertical="center"/>
      <protection hidden="1"/>
    </xf>
    <xf numFmtId="0" fontId="17" fillId="12" borderId="11" xfId="0" applyFont="1" applyFill="1" applyBorder="1"/>
    <xf numFmtId="0" fontId="50" fillId="12" borderId="11" xfId="2" applyFont="1" applyFill="1" applyBorder="1" applyProtection="1">
      <protection locked="0" hidden="1"/>
    </xf>
    <xf numFmtId="0" fontId="17" fillId="12" borderId="11" xfId="2" applyFill="1" applyBorder="1" applyProtection="1">
      <protection locked="0" hidden="1"/>
    </xf>
    <xf numFmtId="177" fontId="3" fillId="7" borderId="26" xfId="0" applyNumberFormat="1" applyFont="1" applyFill="1" applyBorder="1" applyAlignment="1" applyProtection="1">
      <alignment vertical="center"/>
      <protection hidden="1"/>
    </xf>
    <xf numFmtId="0" fontId="11" fillId="11" borderId="0" xfId="0" applyFont="1" applyFill="1" applyAlignment="1" applyProtection="1">
      <alignment vertical="center"/>
      <protection hidden="1"/>
    </xf>
    <xf numFmtId="0" fontId="97" fillId="11" borderId="0" xfId="2" applyFont="1" applyFill="1" applyAlignment="1" applyProtection="1">
      <alignment horizontal="center" vertical="center"/>
      <protection hidden="1"/>
    </xf>
    <xf numFmtId="0" fontId="9" fillId="11" borderId="0" xfId="0" applyFont="1" applyFill="1" applyAlignment="1" applyProtection="1">
      <alignment horizontal="right" vertical="center"/>
      <protection hidden="1"/>
    </xf>
    <xf numFmtId="0" fontId="35" fillId="11" borderId="0" xfId="2" applyFont="1" applyFill="1" applyAlignment="1" applyProtection="1">
      <alignment horizontal="center" vertical="center"/>
      <protection hidden="1"/>
    </xf>
    <xf numFmtId="0" fontId="12" fillId="11" borderId="0" xfId="0" applyFont="1" applyFill="1" applyAlignment="1" applyProtection="1">
      <alignment vertical="center"/>
      <protection hidden="1"/>
    </xf>
    <xf numFmtId="177" fontId="3" fillId="7" borderId="10" xfId="0" applyNumberFormat="1" applyFont="1" applyFill="1" applyBorder="1" applyAlignment="1" applyProtection="1">
      <alignment vertical="center"/>
      <protection hidden="1"/>
    </xf>
    <xf numFmtId="0" fontId="3" fillId="7" borderId="10" xfId="0" applyFont="1" applyFill="1" applyBorder="1" applyAlignment="1" applyProtection="1">
      <alignment vertical="top" wrapText="1"/>
      <protection hidden="1"/>
    </xf>
    <xf numFmtId="0" fontId="9" fillId="11" borderId="0" xfId="0" applyFont="1" applyFill="1" applyAlignment="1" applyProtection="1">
      <alignment vertical="top" wrapText="1"/>
      <protection hidden="1"/>
    </xf>
    <xf numFmtId="0" fontId="9" fillId="11" borderId="0" xfId="0" applyFont="1" applyFill="1" applyAlignment="1" applyProtection="1">
      <alignment horizontal="left" vertical="center"/>
      <protection hidden="1"/>
    </xf>
    <xf numFmtId="0" fontId="18" fillId="11" borderId="0" xfId="0" applyFont="1" applyFill="1" applyAlignment="1" applyProtection="1">
      <alignment horizontal="left" vertical="center"/>
      <protection hidden="1"/>
    </xf>
    <xf numFmtId="1" fontId="9" fillId="7" borderId="10" xfId="0" applyNumberFormat="1" applyFont="1" applyFill="1" applyBorder="1" applyAlignment="1" applyProtection="1">
      <alignment vertical="center"/>
      <protection hidden="1"/>
    </xf>
    <xf numFmtId="1" fontId="9" fillId="7" borderId="26" xfId="0" applyNumberFormat="1" applyFont="1" applyFill="1" applyBorder="1" applyAlignment="1" applyProtection="1">
      <alignment vertical="center"/>
      <protection hidden="1"/>
    </xf>
    <xf numFmtId="164" fontId="9" fillId="10" borderId="10" xfId="0" applyNumberFormat="1" applyFont="1" applyFill="1" applyBorder="1" applyAlignment="1" applyProtection="1">
      <alignment vertical="center"/>
      <protection locked="0"/>
    </xf>
    <xf numFmtId="164" fontId="9" fillId="10" borderId="26" xfId="0" applyNumberFormat="1" applyFont="1" applyFill="1" applyBorder="1" applyAlignment="1" applyProtection="1">
      <alignment vertical="center"/>
      <protection locked="0"/>
    </xf>
    <xf numFmtId="195" fontId="9" fillId="7" borderId="26" xfId="0" applyNumberFormat="1" applyFont="1" applyFill="1" applyBorder="1" applyAlignment="1" applyProtection="1">
      <alignment vertical="center"/>
      <protection locked="0"/>
    </xf>
    <xf numFmtId="2" fontId="9" fillId="7" borderId="10" xfId="0" applyNumberFormat="1" applyFont="1" applyFill="1" applyBorder="1" applyAlignment="1">
      <alignment vertical="center"/>
    </xf>
    <xf numFmtId="2" fontId="9" fillId="7" borderId="26" xfId="0" applyNumberFormat="1" applyFont="1" applyFill="1" applyBorder="1" applyAlignment="1">
      <alignment vertical="center"/>
    </xf>
    <xf numFmtId="1" fontId="3" fillId="11" borderId="0" xfId="0" applyNumberFormat="1" applyFont="1" applyFill="1" applyAlignment="1" applyProtection="1">
      <alignment horizontal="right" vertical="center"/>
      <protection hidden="1"/>
    </xf>
    <xf numFmtId="164" fontId="3" fillId="0" borderId="26" xfId="0" applyNumberFormat="1" applyFont="1" applyBorder="1" applyAlignment="1" applyProtection="1">
      <alignment horizontal="right" vertical="center"/>
      <protection hidden="1"/>
    </xf>
    <xf numFmtId="173" fontId="18" fillId="7" borderId="11" xfId="0" applyNumberFormat="1" applyFont="1" applyFill="1" applyBorder="1" applyAlignment="1" applyProtection="1">
      <alignment vertical="center"/>
      <protection hidden="1"/>
    </xf>
    <xf numFmtId="164" fontId="104" fillId="10" borderId="11" xfId="0" applyNumberFormat="1" applyFont="1" applyFill="1" applyBorder="1" applyAlignment="1" applyProtection="1">
      <alignment vertical="center"/>
      <protection locked="0" hidden="1"/>
    </xf>
    <xf numFmtId="164" fontId="105" fillId="10" borderId="11" xfId="0" applyNumberFormat="1" applyFont="1" applyFill="1" applyBorder="1" applyAlignment="1" applyProtection="1">
      <alignment vertical="center"/>
      <protection locked="0" hidden="1"/>
    </xf>
    <xf numFmtId="164" fontId="106" fillId="10" borderId="11" xfId="0" applyNumberFormat="1" applyFont="1" applyFill="1" applyBorder="1" applyAlignment="1" applyProtection="1">
      <alignment vertical="center"/>
      <protection locked="0" hidden="1"/>
    </xf>
    <xf numFmtId="0" fontId="3" fillId="11" borderId="12" xfId="0" applyFont="1" applyFill="1" applyBorder="1" applyAlignment="1" applyProtection="1">
      <alignment vertical="center"/>
      <protection hidden="1"/>
    </xf>
    <xf numFmtId="0" fontId="3" fillId="11" borderId="13" xfId="0" applyFont="1" applyFill="1" applyBorder="1" applyAlignment="1" applyProtection="1">
      <alignment vertical="center"/>
      <protection hidden="1"/>
    </xf>
    <xf numFmtId="0" fontId="3" fillId="11" borderId="14" xfId="0" applyFont="1" applyFill="1" applyBorder="1" applyAlignment="1" applyProtection="1">
      <alignment vertical="center"/>
      <protection hidden="1"/>
    </xf>
    <xf numFmtId="14" fontId="9" fillId="11" borderId="0" xfId="0" applyNumberFormat="1" applyFont="1" applyFill="1" applyAlignment="1" applyProtection="1">
      <alignment horizontal="left" vertical="center"/>
      <protection hidden="1"/>
    </xf>
    <xf numFmtId="14" fontId="3" fillId="11" borderId="1" xfId="0" applyNumberFormat="1" applyFont="1" applyFill="1" applyBorder="1" applyAlignment="1" applyProtection="1">
      <alignment horizontal="center" vertical="center"/>
      <protection hidden="1"/>
    </xf>
    <xf numFmtId="0" fontId="3" fillId="11" borderId="17" xfId="0" applyFont="1" applyFill="1" applyBorder="1" applyAlignment="1" applyProtection="1">
      <alignment vertical="center"/>
      <protection hidden="1"/>
    </xf>
    <xf numFmtId="14" fontId="11" fillId="11" borderId="1" xfId="0" applyNumberFormat="1" applyFont="1" applyFill="1" applyBorder="1" applyAlignment="1" applyProtection="1">
      <alignment vertical="center"/>
      <protection hidden="1"/>
    </xf>
    <xf numFmtId="0" fontId="3" fillId="11" borderId="10" xfId="0" applyFont="1" applyFill="1" applyBorder="1" applyAlignment="1" applyProtection="1">
      <alignment horizontal="right" vertical="center"/>
      <protection hidden="1"/>
    </xf>
    <xf numFmtId="179" fontId="6" fillId="11" borderId="10" xfId="0" applyNumberFormat="1" applyFont="1" applyFill="1" applyBorder="1" applyAlignment="1" applyProtection="1">
      <alignment horizontal="right" vertical="center"/>
      <protection hidden="1"/>
    </xf>
    <xf numFmtId="14" fontId="3" fillId="11" borderId="10" xfId="0" applyNumberFormat="1" applyFont="1" applyFill="1" applyBorder="1" applyAlignment="1" applyProtection="1">
      <alignment horizontal="center" vertical="center"/>
      <protection hidden="1"/>
    </xf>
    <xf numFmtId="14" fontId="9" fillId="11" borderId="16" xfId="0" applyNumberFormat="1" applyFont="1" applyFill="1" applyBorder="1" applyAlignment="1" applyProtection="1">
      <alignment horizontal="center" vertical="center"/>
      <protection hidden="1"/>
    </xf>
    <xf numFmtId="0" fontId="3" fillId="11" borderId="13" xfId="0" applyFont="1" applyFill="1" applyBorder="1" applyAlignment="1" applyProtection="1">
      <alignment horizontal="right" vertical="center"/>
      <protection hidden="1"/>
    </xf>
    <xf numFmtId="14" fontId="6" fillId="11" borderId="13" xfId="0" applyNumberFormat="1" applyFont="1" applyFill="1" applyBorder="1" applyAlignment="1" applyProtection="1">
      <alignment horizontal="center" vertical="center"/>
      <protection hidden="1"/>
    </xf>
    <xf numFmtId="0" fontId="3" fillId="11" borderId="13" xfId="0" applyFont="1" applyFill="1" applyBorder="1" applyAlignment="1" applyProtection="1">
      <alignment horizontal="left" vertical="center"/>
      <protection hidden="1"/>
    </xf>
    <xf numFmtId="0" fontId="3" fillId="11" borderId="14" xfId="0" applyFont="1" applyFill="1" applyBorder="1" applyAlignment="1" applyProtection="1">
      <alignment horizontal="left" vertical="center"/>
      <protection hidden="1"/>
    </xf>
    <xf numFmtId="183" fontId="9" fillId="11" borderId="0" xfId="0" applyNumberFormat="1" applyFont="1" applyFill="1" applyAlignment="1" applyProtection="1">
      <alignment vertical="center"/>
      <protection hidden="1"/>
    </xf>
    <xf numFmtId="0" fontId="9" fillId="11" borderId="10" xfId="0" applyFont="1" applyFill="1" applyBorder="1" applyAlignment="1" applyProtection="1">
      <alignment horizontal="right" vertical="center"/>
      <protection hidden="1"/>
    </xf>
    <xf numFmtId="164" fontId="9" fillId="11" borderId="0" xfId="0" applyNumberFormat="1" applyFont="1" applyFill="1" applyAlignment="1" applyProtection="1">
      <alignment vertical="center"/>
      <protection hidden="1"/>
    </xf>
    <xf numFmtId="0" fontId="9" fillId="7" borderId="26" xfId="0" applyFont="1" applyFill="1" applyBorder="1" applyAlignment="1" applyProtection="1">
      <alignment horizontal="right" vertical="center"/>
      <protection hidden="1"/>
    </xf>
    <xf numFmtId="164" fontId="9" fillId="7" borderId="26" xfId="0" applyNumberFormat="1" applyFont="1" applyFill="1" applyBorder="1" applyAlignment="1" applyProtection="1">
      <alignment vertical="center"/>
      <protection hidden="1"/>
    </xf>
    <xf numFmtId="164" fontId="3" fillId="11" borderId="12" xfId="0" applyNumberFormat="1" applyFont="1" applyFill="1" applyBorder="1" applyAlignment="1" applyProtection="1">
      <alignment horizontal="right" vertical="center"/>
      <protection hidden="1"/>
    </xf>
    <xf numFmtId="164" fontId="3" fillId="11" borderId="13" xfId="0" applyNumberFormat="1" applyFont="1" applyFill="1" applyBorder="1" applyAlignment="1" applyProtection="1">
      <alignment horizontal="right" vertical="center"/>
      <protection hidden="1"/>
    </xf>
    <xf numFmtId="181" fontId="6" fillId="11" borderId="13" xfId="0" applyNumberFormat="1" applyFont="1" applyFill="1" applyBorder="1" applyAlignment="1" applyProtection="1">
      <alignment horizontal="right" vertical="center"/>
      <protection hidden="1"/>
    </xf>
    <xf numFmtId="0" fontId="0" fillId="11" borderId="13" xfId="0" applyFill="1" applyBorder="1" applyProtection="1">
      <protection hidden="1"/>
    </xf>
    <xf numFmtId="14" fontId="3" fillId="11" borderId="13" xfId="0" applyNumberFormat="1" applyFont="1" applyFill="1" applyBorder="1" applyAlignment="1" applyProtection="1">
      <alignment horizontal="center" vertical="center"/>
      <protection hidden="1"/>
    </xf>
    <xf numFmtId="179" fontId="6" fillId="11" borderId="13" xfId="0" applyNumberFormat="1" applyFont="1" applyFill="1" applyBorder="1" applyAlignment="1" applyProtection="1">
      <alignment horizontal="right" vertical="center"/>
      <protection hidden="1"/>
    </xf>
    <xf numFmtId="180" fontId="6" fillId="11" borderId="13" xfId="0" applyNumberFormat="1" applyFont="1" applyFill="1" applyBorder="1" applyAlignment="1" applyProtection="1">
      <alignment horizontal="right" vertical="center"/>
      <protection hidden="1"/>
    </xf>
    <xf numFmtId="0" fontId="3" fillId="11" borderId="14" xfId="0" applyFont="1" applyFill="1" applyBorder="1" applyAlignment="1" applyProtection="1">
      <alignment horizontal="right" vertical="center"/>
      <protection hidden="1"/>
    </xf>
    <xf numFmtId="173" fontId="6" fillId="11" borderId="13" xfId="0" applyNumberFormat="1" applyFont="1" applyFill="1" applyBorder="1" applyAlignment="1" applyProtection="1">
      <alignment horizontal="right" vertical="center"/>
      <protection hidden="1"/>
    </xf>
    <xf numFmtId="181" fontId="6" fillId="11" borderId="14" xfId="0" applyNumberFormat="1" applyFont="1" applyFill="1" applyBorder="1" applyAlignment="1" applyProtection="1">
      <alignment horizontal="right" vertical="center"/>
      <protection hidden="1"/>
    </xf>
    <xf numFmtId="180" fontId="9" fillId="11" borderId="0" xfId="0" applyNumberFormat="1" applyFont="1" applyFill="1" applyAlignment="1" applyProtection="1">
      <alignment horizontal="right" vertical="center"/>
      <protection hidden="1"/>
    </xf>
    <xf numFmtId="179" fontId="9" fillId="11" borderId="0" xfId="0" applyNumberFormat="1" applyFont="1" applyFill="1" applyAlignment="1" applyProtection="1">
      <alignment horizontal="right" vertical="center"/>
      <protection hidden="1"/>
    </xf>
    <xf numFmtId="181" fontId="11" fillId="11" borderId="0" xfId="0" applyNumberFormat="1" applyFont="1" applyFill="1" applyAlignment="1" applyProtection="1">
      <alignment horizontal="left" vertical="center"/>
      <protection hidden="1"/>
    </xf>
    <xf numFmtId="182" fontId="9" fillId="11" borderId="1" xfId="0" applyNumberFormat="1" applyFont="1" applyFill="1" applyBorder="1" applyAlignment="1" applyProtection="1">
      <alignment horizontal="right" vertical="center"/>
      <protection hidden="1"/>
    </xf>
    <xf numFmtId="173" fontId="11" fillId="11" borderId="0" xfId="0" applyNumberFormat="1" applyFont="1" applyFill="1" applyAlignment="1" applyProtection="1">
      <alignment horizontal="right" vertical="center"/>
      <protection hidden="1"/>
    </xf>
    <xf numFmtId="14" fontId="9" fillId="11" borderId="0" xfId="0" applyNumberFormat="1" applyFont="1" applyFill="1" applyAlignment="1" applyProtection="1">
      <alignment horizontal="right" vertical="center"/>
      <protection hidden="1"/>
    </xf>
    <xf numFmtId="0" fontId="9" fillId="11" borderId="5" xfId="0" applyFont="1" applyFill="1" applyBorder="1" applyAlignment="1" applyProtection="1">
      <alignment horizontal="right" vertical="center"/>
      <protection hidden="1"/>
    </xf>
    <xf numFmtId="181" fontId="6" fillId="11" borderId="1" xfId="0" applyNumberFormat="1" applyFont="1" applyFill="1" applyBorder="1" applyAlignment="1" applyProtection="1">
      <alignment horizontal="right" vertical="center"/>
      <protection hidden="1"/>
    </xf>
    <xf numFmtId="164" fontId="3" fillId="11" borderId="15" xfId="0" applyNumberFormat="1" applyFont="1" applyFill="1" applyBorder="1" applyAlignment="1" applyProtection="1">
      <alignment horizontal="right" vertical="center"/>
      <protection hidden="1"/>
    </xf>
    <xf numFmtId="164" fontId="3" fillId="11" borderId="10" xfId="0" applyNumberFormat="1" applyFont="1" applyFill="1" applyBorder="1" applyAlignment="1" applyProtection="1">
      <alignment horizontal="right" vertical="center"/>
      <protection hidden="1"/>
    </xf>
    <xf numFmtId="181" fontId="6" fillId="11" borderId="10" xfId="0" applyNumberFormat="1" applyFont="1" applyFill="1" applyBorder="1" applyAlignment="1" applyProtection="1">
      <alignment horizontal="right" vertical="center"/>
      <protection hidden="1"/>
    </xf>
    <xf numFmtId="0" fontId="0" fillId="11" borderId="10" xfId="0" applyFill="1" applyBorder="1" applyProtection="1">
      <protection hidden="1"/>
    </xf>
    <xf numFmtId="180" fontId="6" fillId="11" borderId="10" xfId="0" applyNumberFormat="1" applyFont="1" applyFill="1" applyBorder="1" applyAlignment="1" applyProtection="1">
      <alignment horizontal="right" vertical="center"/>
      <protection hidden="1"/>
    </xf>
    <xf numFmtId="0" fontId="3" fillId="11" borderId="16" xfId="0" applyFont="1" applyFill="1" applyBorder="1" applyAlignment="1" applyProtection="1">
      <alignment horizontal="right" vertical="center"/>
      <protection hidden="1"/>
    </xf>
    <xf numFmtId="173" fontId="6" fillId="11" borderId="10" xfId="0" applyNumberFormat="1" applyFont="1" applyFill="1" applyBorder="1" applyAlignment="1" applyProtection="1">
      <alignment horizontal="right" vertical="center"/>
      <protection hidden="1"/>
    </xf>
    <xf numFmtId="181" fontId="6" fillId="11" borderId="16" xfId="0" applyNumberFormat="1" applyFont="1" applyFill="1" applyBorder="1" applyAlignment="1" applyProtection="1">
      <alignment horizontal="right" vertical="center"/>
      <protection hidden="1"/>
    </xf>
    <xf numFmtId="16" fontId="18" fillId="7" borderId="11" xfId="0" applyNumberFormat="1" applyFont="1" applyFill="1" applyBorder="1" applyAlignment="1" applyProtection="1">
      <alignment vertical="center"/>
      <protection hidden="1"/>
    </xf>
    <xf numFmtId="184" fontId="101" fillId="10" borderId="11" xfId="0" applyNumberFormat="1" applyFont="1" applyFill="1" applyBorder="1" applyAlignment="1" applyProtection="1">
      <alignment vertical="center"/>
      <protection locked="0" hidden="1"/>
    </xf>
    <xf numFmtId="184" fontId="102" fillId="10" borderId="11" xfId="0" applyNumberFormat="1" applyFont="1" applyFill="1" applyBorder="1" applyAlignment="1" applyProtection="1">
      <alignment vertical="center"/>
      <protection locked="0" hidden="1"/>
    </xf>
    <xf numFmtId="184" fontId="103" fillId="10" borderId="11" xfId="0" applyNumberFormat="1" applyFont="1" applyFill="1" applyBorder="1" applyAlignment="1" applyProtection="1">
      <alignment vertical="center"/>
      <protection locked="0" hidden="1"/>
    </xf>
    <xf numFmtId="184" fontId="104" fillId="10" borderId="11" xfId="0" applyNumberFormat="1" applyFont="1" applyFill="1" applyBorder="1" applyAlignment="1" applyProtection="1">
      <alignment vertical="center"/>
      <protection locked="0" hidden="1"/>
    </xf>
    <xf numFmtId="184" fontId="105" fillId="10" borderId="11" xfId="0" applyNumberFormat="1" applyFont="1" applyFill="1" applyBorder="1" applyAlignment="1" applyProtection="1">
      <alignment vertical="center"/>
      <protection locked="0" hidden="1"/>
    </xf>
    <xf numFmtId="184" fontId="106" fillId="10" borderId="11" xfId="0" applyNumberFormat="1" applyFont="1" applyFill="1" applyBorder="1" applyAlignment="1" applyProtection="1">
      <alignment vertical="center"/>
      <protection locked="0" hidden="1"/>
    </xf>
    <xf numFmtId="181" fontId="3" fillId="7" borderId="26" xfId="0" applyNumberFormat="1" applyFont="1" applyFill="1" applyBorder="1" applyAlignment="1" applyProtection="1">
      <alignment horizontal="right" vertical="center"/>
      <protection hidden="1"/>
    </xf>
    <xf numFmtId="1" fontId="3" fillId="7" borderId="10" xfId="0" applyNumberFormat="1" applyFont="1" applyFill="1" applyBorder="1" applyAlignment="1" applyProtection="1">
      <alignment vertical="center"/>
      <protection hidden="1"/>
    </xf>
    <xf numFmtId="14" fontId="3" fillId="11" borderId="0" xfId="0" applyNumberFormat="1" applyFont="1" applyFill="1" applyAlignment="1" applyProtection="1">
      <alignment horizontal="center" vertical="center"/>
      <protection hidden="1"/>
    </xf>
    <xf numFmtId="187" fontId="3" fillId="3" borderId="26" xfId="0" applyNumberFormat="1" applyFont="1" applyFill="1" applyBorder="1" applyAlignment="1" applyProtection="1">
      <alignment horizontal="right" vertical="center"/>
      <protection hidden="1"/>
    </xf>
    <xf numFmtId="0" fontId="63" fillId="10" borderId="11" xfId="2" applyFont="1" applyFill="1" applyBorder="1" applyAlignment="1" applyProtection="1">
      <alignment vertical="center"/>
      <protection locked="0" hidden="1"/>
    </xf>
    <xf numFmtId="0" fontId="64" fillId="10" borderId="11" xfId="2" applyFont="1" applyFill="1" applyBorder="1" applyAlignment="1" applyProtection="1">
      <alignment vertical="center"/>
      <protection locked="0" hidden="1"/>
    </xf>
    <xf numFmtId="0" fontId="3" fillId="10" borderId="10" xfId="2" applyFont="1" applyFill="1" applyBorder="1" applyAlignment="1" applyProtection="1">
      <alignment vertical="center"/>
      <protection locked="0" hidden="1"/>
    </xf>
    <xf numFmtId="164" fontId="0" fillId="0" borderId="0" xfId="0" applyNumberFormat="1"/>
    <xf numFmtId="0" fontId="75" fillId="7" borderId="10" xfId="1" applyFont="1" applyFill="1" applyBorder="1" applyAlignment="1" applyProtection="1">
      <alignment horizontal="center" vertical="center"/>
      <protection locked="0" hidden="1"/>
    </xf>
    <xf numFmtId="2" fontId="0" fillId="0" borderId="0" xfId="0" applyNumberFormat="1"/>
    <xf numFmtId="0" fontId="17" fillId="7" borderId="12" xfId="2" applyFill="1" applyBorder="1" applyProtection="1">
      <protection hidden="1"/>
    </xf>
    <xf numFmtId="0" fontId="17" fillId="7" borderId="13" xfId="2" applyFill="1" applyBorder="1" applyProtection="1">
      <protection hidden="1"/>
    </xf>
    <xf numFmtId="0" fontId="17" fillId="7" borderId="14" xfId="2" applyFill="1" applyBorder="1" applyProtection="1">
      <protection hidden="1"/>
    </xf>
    <xf numFmtId="0" fontId="17" fillId="7" borderId="17" xfId="2" applyFill="1" applyBorder="1" applyProtection="1">
      <protection hidden="1"/>
    </xf>
    <xf numFmtId="0" fontId="19" fillId="7" borderId="0" xfId="2" applyFont="1" applyFill="1" applyProtection="1">
      <protection hidden="1"/>
    </xf>
    <xf numFmtId="0" fontId="17" fillId="7" borderId="0" xfId="2" applyFill="1" applyProtection="1">
      <protection hidden="1"/>
    </xf>
    <xf numFmtId="189" fontId="17" fillId="7" borderId="0" xfId="2" applyNumberFormat="1" applyFill="1" applyAlignment="1" applyProtection="1">
      <alignment horizontal="left"/>
      <protection hidden="1"/>
    </xf>
    <xf numFmtId="0" fontId="17" fillId="7" borderId="1" xfId="2" applyFill="1" applyBorder="1" applyProtection="1">
      <protection hidden="1"/>
    </xf>
    <xf numFmtId="0" fontId="50" fillId="7" borderId="0" xfId="2" applyFont="1" applyFill="1" applyProtection="1">
      <protection hidden="1"/>
    </xf>
    <xf numFmtId="0" fontId="17" fillId="7" borderId="0" xfId="2" applyFill="1" applyAlignment="1" applyProtection="1">
      <alignment horizontal="left"/>
      <protection hidden="1"/>
    </xf>
    <xf numFmtId="0" fontId="17" fillId="7" borderId="15" xfId="2" applyFill="1" applyBorder="1" applyProtection="1">
      <protection hidden="1"/>
    </xf>
    <xf numFmtId="0" fontId="17" fillId="7" borderId="10" xfId="2" applyFill="1" applyBorder="1" applyProtection="1">
      <protection hidden="1"/>
    </xf>
    <xf numFmtId="0" fontId="17" fillId="7" borderId="10" xfId="2" applyFill="1" applyBorder="1" applyAlignment="1" applyProtection="1">
      <alignment horizontal="left"/>
      <protection hidden="1"/>
    </xf>
    <xf numFmtId="0" fontId="17" fillId="7" borderId="16" xfId="2" applyFill="1" applyBorder="1" applyProtection="1">
      <protection hidden="1"/>
    </xf>
    <xf numFmtId="0" fontId="51" fillId="7" borderId="0" xfId="2" applyFont="1" applyFill="1" applyAlignment="1" applyProtection="1">
      <alignment horizontal="center"/>
      <protection hidden="1"/>
    </xf>
    <xf numFmtId="0" fontId="11" fillId="3" borderId="11" xfId="0" applyFont="1" applyFill="1" applyBorder="1" applyAlignment="1" applyProtection="1">
      <alignment horizontal="center" vertical="center"/>
      <protection hidden="1"/>
    </xf>
    <xf numFmtId="0" fontId="11" fillId="2" borderId="36" xfId="0" applyFont="1" applyFill="1" applyBorder="1" applyAlignment="1" applyProtection="1">
      <alignment horizontal="center" vertical="center"/>
      <protection hidden="1"/>
    </xf>
    <xf numFmtId="14" fontId="6" fillId="11" borderId="0" xfId="0" applyNumberFormat="1" applyFont="1" applyFill="1" applyAlignment="1">
      <alignment horizontal="right"/>
    </xf>
    <xf numFmtId="0" fontId="6" fillId="11" borderId="0" xfId="0" applyFont="1" applyFill="1"/>
    <xf numFmtId="14" fontId="6" fillId="11" borderId="0" xfId="0" applyNumberFormat="1" applyFont="1" applyFill="1" applyAlignment="1">
      <alignment horizontal="left"/>
    </xf>
    <xf numFmtId="0" fontId="3" fillId="11" borderId="0" xfId="0" applyFont="1" applyFill="1"/>
    <xf numFmtId="0" fontId="33" fillId="11" borderId="0" xfId="0" applyFont="1" applyFill="1"/>
    <xf numFmtId="0" fontId="107" fillId="11" borderId="0" xfId="1" applyFont="1" applyFill="1" applyAlignment="1" applyProtection="1"/>
    <xf numFmtId="14" fontId="107" fillId="11" borderId="0" xfId="1" applyNumberFormat="1" applyFont="1" applyFill="1" applyAlignment="1" applyProtection="1"/>
    <xf numFmtId="14" fontId="3" fillId="11" borderId="0" xfId="0" applyNumberFormat="1" applyFont="1" applyFill="1"/>
    <xf numFmtId="14" fontId="33" fillId="11" borderId="0" xfId="0" applyNumberFormat="1" applyFont="1" applyFill="1"/>
    <xf numFmtId="0" fontId="6" fillId="11" borderId="0" xfId="0" applyFont="1" applyFill="1" applyAlignment="1">
      <alignment horizontal="right"/>
    </xf>
    <xf numFmtId="0" fontId="6" fillId="11" borderId="0" xfId="0" applyFont="1" applyFill="1" applyAlignment="1">
      <alignment horizontal="left"/>
    </xf>
    <xf numFmtId="0" fontId="3" fillId="3" borderId="25" xfId="2" applyFont="1" applyFill="1" applyBorder="1" applyAlignment="1" applyProtection="1">
      <alignment vertical="center"/>
      <protection locked="0" hidden="1"/>
    </xf>
    <xf numFmtId="0" fontId="3" fillId="3" borderId="11" xfId="2" applyFont="1" applyFill="1" applyBorder="1" applyAlignment="1" applyProtection="1">
      <alignment vertical="center"/>
      <protection locked="0" hidden="1"/>
    </xf>
    <xf numFmtId="0" fontId="9" fillId="3" borderId="10" xfId="0" applyFont="1" applyFill="1" applyBorder="1" applyAlignment="1" applyProtection="1">
      <alignment horizontal="right" vertical="center"/>
      <protection hidden="1"/>
    </xf>
    <xf numFmtId="0" fontId="3" fillId="11" borderId="0" xfId="0" applyFont="1" applyFill="1" applyAlignment="1" applyProtection="1">
      <alignment horizontal="right" vertical="center"/>
      <protection hidden="1"/>
    </xf>
    <xf numFmtId="0" fontId="11" fillId="11" borderId="0" xfId="0" applyFont="1" applyFill="1" applyAlignment="1" applyProtection="1">
      <alignment horizontal="right" vertical="center"/>
      <protection hidden="1"/>
    </xf>
    <xf numFmtId="0" fontId="6" fillId="2" borderId="6" xfId="2" applyFont="1" applyFill="1" applyBorder="1" applyAlignment="1" applyProtection="1">
      <alignment vertical="center"/>
      <protection hidden="1"/>
    </xf>
    <xf numFmtId="2" fontId="14" fillId="4" borderId="0" xfId="0" applyNumberFormat="1" applyFont="1" applyFill="1" applyBorder="1" applyAlignment="1" applyProtection="1">
      <alignment vertical="center"/>
      <protection hidden="1"/>
    </xf>
    <xf numFmtId="2" fontId="14" fillId="4" borderId="10" xfId="0" applyNumberFormat="1" applyFont="1" applyFill="1" applyBorder="1" applyAlignment="1" applyProtection="1">
      <alignment vertical="center"/>
      <protection hidden="1"/>
    </xf>
    <xf numFmtId="0" fontId="14" fillId="4" borderId="0" xfId="2" applyFont="1" applyFill="1" applyBorder="1" applyAlignment="1" applyProtection="1">
      <alignment vertical="center"/>
      <protection hidden="1"/>
    </xf>
    <xf numFmtId="196" fontId="14" fillId="4" borderId="0" xfId="2" applyNumberFormat="1" applyFont="1" applyFill="1" applyBorder="1" applyAlignment="1" applyProtection="1">
      <alignment vertical="center"/>
      <protection hidden="1"/>
    </xf>
    <xf numFmtId="0" fontId="3" fillId="0" borderId="0" xfId="2" applyFont="1" applyBorder="1" applyAlignment="1" applyProtection="1">
      <alignment vertical="center"/>
      <protection hidden="1"/>
    </xf>
    <xf numFmtId="0" fontId="109" fillId="0" borderId="0" xfId="2" applyFont="1" applyBorder="1" applyAlignment="1" applyProtection="1">
      <alignment vertical="center"/>
      <protection hidden="1"/>
    </xf>
    <xf numFmtId="0" fontId="6" fillId="0" borderId="0" xfId="2" applyFont="1" applyBorder="1" applyAlignment="1" applyProtection="1">
      <alignment vertical="center"/>
      <protection hidden="1"/>
    </xf>
    <xf numFmtId="0" fontId="3" fillId="0" borderId="0" xfId="2" applyFont="1" applyBorder="1" applyAlignment="1" applyProtection="1">
      <alignment horizontal="right" vertical="center"/>
      <protection hidden="1"/>
    </xf>
    <xf numFmtId="0" fontId="6" fillId="0" borderId="0" xfId="0" applyFont="1" applyFill="1" applyAlignment="1" applyProtection="1">
      <alignment vertical="center"/>
      <protection hidden="1"/>
    </xf>
    <xf numFmtId="9" fontId="6" fillId="2" borderId="6" xfId="2" applyNumberFormat="1" applyFont="1" applyFill="1" applyBorder="1" applyAlignment="1" applyProtection="1">
      <alignment vertical="center"/>
      <protection hidden="1"/>
    </xf>
    <xf numFmtId="0" fontId="112" fillId="0" borderId="0" xfId="2" applyFont="1" applyAlignment="1" applyProtection="1">
      <alignment horizontal="right" vertical="center"/>
      <protection hidden="1"/>
    </xf>
    <xf numFmtId="0" fontId="6" fillId="0" borderId="0" xfId="2" applyFont="1" applyFill="1" applyAlignment="1" applyProtection="1">
      <alignment vertical="center"/>
      <protection hidden="1"/>
    </xf>
    <xf numFmtId="0" fontId="6" fillId="0" borderId="0" xfId="2" applyFont="1" applyAlignment="1" applyProtection="1">
      <alignment horizontal="left" vertical="center" indent="1"/>
      <protection hidden="1"/>
    </xf>
    <xf numFmtId="0" fontId="6" fillId="0" borderId="6" xfId="2" applyFont="1" applyBorder="1" applyAlignment="1" applyProtection="1">
      <alignment vertical="center"/>
      <protection hidden="1"/>
    </xf>
    <xf numFmtId="164" fontId="14" fillId="4" borderId="17" xfId="2" applyNumberFormat="1" applyFont="1" applyFill="1" applyBorder="1" applyAlignment="1" applyProtection="1">
      <alignment vertical="center"/>
      <protection hidden="1"/>
    </xf>
    <xf numFmtId="164" fontId="14" fillId="4" borderId="0" xfId="2" applyNumberFormat="1" applyFont="1" applyFill="1" applyBorder="1" applyAlignment="1" applyProtection="1">
      <alignment vertical="center"/>
      <protection hidden="1"/>
    </xf>
    <xf numFmtId="164" fontId="14" fillId="4" borderId="1" xfId="2" applyNumberFormat="1" applyFont="1" applyFill="1" applyBorder="1" applyAlignment="1" applyProtection="1">
      <alignment vertical="center"/>
      <protection hidden="1"/>
    </xf>
    <xf numFmtId="164" fontId="14" fillId="4" borderId="15" xfId="2" applyNumberFormat="1" applyFont="1" applyFill="1" applyBorder="1" applyAlignment="1" applyProtection="1">
      <alignment vertical="center"/>
      <protection hidden="1"/>
    </xf>
    <xf numFmtId="164" fontId="14" fillId="4" borderId="10" xfId="2" applyNumberFormat="1" applyFont="1" applyFill="1" applyBorder="1" applyAlignment="1" applyProtection="1">
      <alignment vertical="center"/>
      <protection hidden="1"/>
    </xf>
    <xf numFmtId="164" fontId="14" fillId="4" borderId="16" xfId="2" applyNumberFormat="1" applyFont="1" applyFill="1" applyBorder="1" applyAlignment="1" applyProtection="1">
      <alignment vertical="center"/>
      <protection hidden="1"/>
    </xf>
    <xf numFmtId="202" fontId="113" fillId="4" borderId="12" xfId="2" applyNumberFormat="1" applyFont="1" applyFill="1" applyBorder="1" applyAlignment="1" applyProtection="1">
      <alignment vertical="center"/>
      <protection hidden="1"/>
    </xf>
    <xf numFmtId="202" fontId="113" fillId="4" borderId="13" xfId="2" applyNumberFormat="1" applyFont="1" applyFill="1" applyBorder="1" applyAlignment="1" applyProtection="1">
      <alignment vertical="center"/>
      <protection hidden="1"/>
    </xf>
    <xf numFmtId="202" fontId="113" fillId="4" borderId="14" xfId="2" applyNumberFormat="1" applyFont="1" applyFill="1" applyBorder="1" applyAlignment="1" applyProtection="1">
      <alignment vertical="center"/>
      <protection hidden="1"/>
    </xf>
    <xf numFmtId="0" fontId="3" fillId="2" borderId="0" xfId="2" applyFont="1" applyFill="1" applyBorder="1" applyAlignment="1" applyProtection="1">
      <alignment vertical="center"/>
      <protection hidden="1"/>
    </xf>
    <xf numFmtId="172" fontId="3" fillId="0" borderId="0" xfId="0" applyNumberFormat="1" applyFont="1" applyBorder="1" applyAlignment="1" applyProtection="1">
      <alignment horizontal="right" vertical="center"/>
      <protection hidden="1"/>
    </xf>
    <xf numFmtId="0" fontId="3" fillId="0" borderId="0" xfId="2" applyFont="1" applyBorder="1" applyAlignment="1" applyProtection="1">
      <alignment horizontal="left" vertical="center"/>
      <protection hidden="1"/>
    </xf>
    <xf numFmtId="0" fontId="9" fillId="0" borderId="0" xfId="2" applyFont="1" applyBorder="1" applyAlignment="1" applyProtection="1">
      <alignment horizontal="center" vertical="center"/>
      <protection hidden="1"/>
    </xf>
    <xf numFmtId="0" fontId="9" fillId="0" borderId="0" xfId="2" applyFont="1" applyBorder="1" applyAlignment="1" applyProtection="1">
      <alignment vertical="center"/>
      <protection hidden="1"/>
    </xf>
    <xf numFmtId="1" fontId="9" fillId="0" borderId="0" xfId="2" applyNumberFormat="1" applyFont="1" applyBorder="1" applyAlignment="1" applyProtection="1">
      <alignment horizontal="right" vertical="center"/>
      <protection hidden="1"/>
    </xf>
    <xf numFmtId="0" fontId="99" fillId="2" borderId="0" xfId="2" applyFont="1" applyFill="1" applyAlignment="1" applyProtection="1">
      <alignment vertical="center"/>
      <protection hidden="1"/>
    </xf>
    <xf numFmtId="0" fontId="67" fillId="0" borderId="0" xfId="2" applyFont="1" applyAlignment="1" applyProtection="1">
      <alignment vertical="center"/>
      <protection hidden="1"/>
    </xf>
    <xf numFmtId="0" fontId="7" fillId="2" borderId="0" xfId="0" applyFont="1" applyFill="1" applyAlignment="1" applyProtection="1">
      <alignment horizontal="left" vertical="center"/>
      <protection hidden="1"/>
    </xf>
    <xf numFmtId="0" fontId="3" fillId="2" borderId="3" xfId="0" applyFont="1" applyFill="1" applyBorder="1" applyAlignment="1" applyProtection="1">
      <alignment horizontal="right" vertical="center"/>
      <protection hidden="1"/>
    </xf>
    <xf numFmtId="0" fontId="3" fillId="4" borderId="13" xfId="2" applyFont="1" applyFill="1" applyBorder="1" applyAlignment="1" applyProtection="1">
      <alignment vertical="center"/>
      <protection hidden="1"/>
    </xf>
    <xf numFmtId="201" fontId="14" fillId="4" borderId="0" xfId="2" applyNumberFormat="1" applyFont="1" applyFill="1" applyBorder="1" applyAlignment="1" applyProtection="1">
      <alignment vertical="center"/>
      <protection hidden="1"/>
    </xf>
    <xf numFmtId="201" fontId="14" fillId="4" borderId="1" xfId="2" applyNumberFormat="1" applyFont="1" applyFill="1" applyBorder="1" applyAlignment="1" applyProtection="1">
      <alignment vertical="center"/>
      <protection hidden="1"/>
    </xf>
    <xf numFmtId="0" fontId="3" fillId="3" borderId="1" xfId="0" applyFont="1" applyFill="1" applyBorder="1" applyAlignment="1" applyProtection="1">
      <alignment vertical="center"/>
      <protection hidden="1"/>
    </xf>
    <xf numFmtId="165" fontId="3" fillId="3" borderId="26" xfId="0" applyNumberFormat="1" applyFont="1" applyFill="1" applyBorder="1" applyAlignment="1" applyProtection="1">
      <alignment vertical="center"/>
      <protection hidden="1"/>
    </xf>
    <xf numFmtId="1" fontId="3" fillId="7" borderId="26" xfId="0" applyNumberFormat="1" applyFont="1" applyFill="1" applyBorder="1" applyAlignment="1" applyProtection="1">
      <alignment vertical="center"/>
      <protection hidden="1"/>
    </xf>
    <xf numFmtId="164" fontId="3" fillId="3" borderId="10" xfId="0" applyNumberFormat="1" applyFont="1" applyFill="1" applyBorder="1" applyAlignment="1" applyProtection="1">
      <alignment vertical="center"/>
      <protection hidden="1"/>
    </xf>
    <xf numFmtId="0" fontId="3" fillId="12" borderId="10" xfId="2" applyFont="1" applyFill="1" applyBorder="1" applyAlignment="1" applyProtection="1">
      <alignment horizontal="center" vertical="center"/>
      <protection locked="0" hidden="1"/>
    </xf>
    <xf numFmtId="0" fontId="114" fillId="2" borderId="0" xfId="2" applyFont="1" applyFill="1" applyAlignment="1" applyProtection="1">
      <alignment vertical="center"/>
      <protection hidden="1"/>
    </xf>
    <xf numFmtId="186" fontId="74" fillId="3" borderId="0" xfId="0" applyNumberFormat="1" applyFont="1" applyFill="1"/>
    <xf numFmtId="186" fontId="87" fillId="11" borderId="11" xfId="0" applyNumberFormat="1" applyFont="1" applyFill="1" applyBorder="1"/>
    <xf numFmtId="186" fontId="74" fillId="3" borderId="11" xfId="0" applyNumberFormat="1" applyFont="1" applyFill="1" applyBorder="1"/>
    <xf numFmtId="186" fontId="74" fillId="3" borderId="29" xfId="0" applyNumberFormat="1" applyFont="1" applyFill="1" applyBorder="1"/>
    <xf numFmtId="164" fontId="105" fillId="7" borderId="11" xfId="0" applyNumberFormat="1" applyFont="1" applyFill="1" applyBorder="1" applyAlignment="1" applyProtection="1">
      <alignment vertical="center"/>
      <protection hidden="1"/>
    </xf>
    <xf numFmtId="164" fontId="102" fillId="10" borderId="11" xfId="0" applyNumberFormat="1" applyFont="1" applyFill="1" applyBorder="1" applyAlignment="1" applyProtection="1">
      <alignment vertical="center"/>
      <protection locked="0" hidden="1"/>
    </xf>
    <xf numFmtId="164" fontId="103" fillId="10" borderId="11" xfId="0" applyNumberFormat="1" applyFont="1" applyFill="1" applyBorder="1" applyAlignment="1" applyProtection="1">
      <alignment vertical="center"/>
      <protection locked="0" hidden="1"/>
    </xf>
    <xf numFmtId="2" fontId="9" fillId="10" borderId="10" xfId="0" applyNumberFormat="1" applyFont="1" applyFill="1" applyBorder="1" applyAlignment="1" applyProtection="1">
      <alignment vertical="center"/>
      <protection locked="0" hidden="1"/>
    </xf>
    <xf numFmtId="186" fontId="74" fillId="3" borderId="0" xfId="0" applyNumberFormat="1" applyFont="1" applyFill="1" applyAlignment="1">
      <alignment horizontal="right"/>
    </xf>
    <xf numFmtId="186" fontId="87" fillId="11" borderId="11" xfId="0" applyNumberFormat="1" applyFont="1" applyFill="1" applyBorder="1" applyAlignment="1">
      <alignment horizontal="center"/>
    </xf>
    <xf numFmtId="186" fontId="74" fillId="3" borderId="11" xfId="0" applyNumberFormat="1" applyFont="1" applyFill="1" applyBorder="1" applyAlignment="1">
      <alignment horizontal="right"/>
    </xf>
    <xf numFmtId="186" fontId="74" fillId="3" borderId="25" xfId="0" applyNumberFormat="1" applyFont="1" applyFill="1" applyBorder="1" applyAlignment="1">
      <alignment horizontal="right"/>
    </xf>
    <xf numFmtId="0" fontId="3" fillId="2" borderId="3" xfId="2" applyFont="1" applyFill="1" applyBorder="1" applyAlignment="1" applyProtection="1">
      <alignment horizontal="right" vertical="center"/>
      <protection hidden="1"/>
    </xf>
    <xf numFmtId="0" fontId="3" fillId="2" borderId="0" xfId="2" applyFont="1" applyFill="1" applyAlignment="1" applyProtection="1">
      <alignment horizontal="center" vertical="center"/>
      <protection hidden="1"/>
    </xf>
    <xf numFmtId="0" fontId="7" fillId="2" borderId="0" xfId="0" applyFont="1" applyFill="1" applyAlignment="1" applyProtection="1">
      <alignment horizontal="left" vertical="center"/>
      <protection hidden="1"/>
    </xf>
    <xf numFmtId="164" fontId="9" fillId="7" borderId="10" xfId="0" applyNumberFormat="1" applyFont="1" applyFill="1" applyBorder="1" applyAlignment="1" applyProtection="1">
      <alignment horizontal="right" vertical="center"/>
      <protection hidden="1"/>
    </xf>
    <xf numFmtId="164" fontId="9" fillId="7" borderId="26" xfId="0" applyNumberFormat="1" applyFont="1" applyFill="1" applyBorder="1" applyAlignment="1" applyProtection="1">
      <alignment horizontal="right" vertical="center"/>
      <protection hidden="1"/>
    </xf>
    <xf numFmtId="164" fontId="3" fillId="10" borderId="10" xfId="0" applyNumberFormat="1" applyFont="1" applyFill="1" applyBorder="1" applyAlignment="1" applyProtection="1">
      <alignment horizontal="right" vertical="center"/>
      <protection hidden="1"/>
    </xf>
    <xf numFmtId="0" fontId="3" fillId="2" borderId="3" xfId="0" applyFont="1" applyFill="1" applyBorder="1" applyAlignment="1" applyProtection="1">
      <alignment horizontal="right" vertical="center"/>
      <protection hidden="1"/>
    </xf>
    <xf numFmtId="182" fontId="9" fillId="7" borderId="10" xfId="0" applyNumberFormat="1" applyFont="1" applyFill="1" applyBorder="1" applyAlignment="1" applyProtection="1">
      <alignment horizontal="right" vertical="center"/>
      <protection hidden="1"/>
    </xf>
    <xf numFmtId="0" fontId="98" fillId="3" borderId="0" xfId="0" applyFont="1" applyFill="1" applyAlignment="1">
      <alignment horizontal="center"/>
    </xf>
    <xf numFmtId="0" fontId="95" fillId="11" borderId="29" xfId="1" applyFont="1" applyFill="1" applyBorder="1" applyAlignment="1">
      <alignment horizontal="center" vertical="center"/>
      <protection locked="0"/>
    </xf>
    <xf numFmtId="0" fontId="95" fillId="11" borderId="26" xfId="1" applyFont="1" applyFill="1" applyBorder="1" applyAlignment="1">
      <alignment horizontal="center" vertical="center"/>
      <protection locked="0"/>
    </xf>
    <xf numFmtId="0" fontId="95" fillId="11" borderId="25" xfId="1" applyFont="1" applyFill="1" applyBorder="1" applyAlignment="1">
      <alignment horizontal="center" vertical="center"/>
      <protection locked="0"/>
    </xf>
    <xf numFmtId="0" fontId="17" fillId="11" borderId="0" xfId="0" applyFont="1" applyFill="1" applyAlignment="1">
      <alignment horizontal="left" vertical="top" wrapText="1"/>
    </xf>
    <xf numFmtId="0" fontId="93" fillId="11" borderId="29" xfId="1" applyFont="1" applyFill="1" applyBorder="1" applyAlignment="1">
      <alignment horizontal="center"/>
      <protection locked="0"/>
    </xf>
    <xf numFmtId="0" fontId="93" fillId="11" borderId="26" xfId="1" applyFont="1" applyFill="1" applyBorder="1" applyAlignment="1">
      <alignment horizontal="center"/>
      <protection locked="0"/>
    </xf>
    <xf numFmtId="0" fontId="93" fillId="11" borderId="25" xfId="1" applyFont="1" applyFill="1" applyBorder="1" applyAlignment="1">
      <alignment horizontal="center"/>
      <protection locked="0"/>
    </xf>
    <xf numFmtId="164" fontId="3" fillId="7" borderId="10" xfId="2" applyNumberFormat="1" applyFont="1" applyFill="1" applyBorder="1" applyAlignment="1" applyProtection="1">
      <alignment horizontal="right" vertical="center"/>
      <protection hidden="1"/>
    </xf>
    <xf numFmtId="186" fontId="3" fillId="10" borderId="10" xfId="2" applyNumberFormat="1" applyFont="1" applyFill="1" applyBorder="1" applyAlignment="1" applyProtection="1">
      <alignment horizontal="right" vertical="center"/>
      <protection locked="0" hidden="1"/>
    </xf>
    <xf numFmtId="164" fontId="6" fillId="7" borderId="10" xfId="2" applyNumberFormat="1" applyFont="1" applyFill="1" applyBorder="1" applyAlignment="1" applyProtection="1">
      <alignment horizontal="right" vertical="center"/>
      <protection hidden="1"/>
    </xf>
    <xf numFmtId="0" fontId="3" fillId="3" borderId="10" xfId="2" applyFont="1" applyFill="1" applyBorder="1" applyAlignment="1" applyProtection="1">
      <alignment horizontal="right" vertical="center"/>
      <protection hidden="1"/>
    </xf>
    <xf numFmtId="0" fontId="3" fillId="3" borderId="10" xfId="2" applyFont="1" applyFill="1" applyBorder="1" applyAlignment="1" applyProtection="1">
      <alignment horizontal="left" vertical="center"/>
      <protection locked="0" hidden="1"/>
    </xf>
    <xf numFmtId="2" fontId="6" fillId="7" borderId="10" xfId="2" applyNumberFormat="1" applyFont="1" applyFill="1" applyBorder="1" applyAlignment="1" applyProtection="1">
      <alignment horizontal="right" vertical="center"/>
      <protection hidden="1"/>
    </xf>
    <xf numFmtId="1" fontId="6" fillId="7" borderId="10" xfId="2" applyNumberFormat="1" applyFont="1" applyFill="1" applyBorder="1" applyAlignment="1" applyProtection="1">
      <alignment horizontal="right" vertical="center"/>
      <protection hidden="1"/>
    </xf>
    <xf numFmtId="0" fontId="75" fillId="7" borderId="12" xfId="1" applyFont="1" applyFill="1" applyBorder="1" applyAlignment="1" applyProtection="1">
      <alignment horizontal="center" vertical="center"/>
      <protection locked="0" hidden="1"/>
    </xf>
    <xf numFmtId="0" fontId="75" fillId="7" borderId="15" xfId="1" applyFont="1" applyFill="1" applyBorder="1" applyAlignment="1" applyProtection="1">
      <alignment horizontal="center" vertical="center"/>
      <protection locked="0" hidden="1"/>
    </xf>
    <xf numFmtId="0" fontId="75" fillId="7" borderId="14" xfId="1" applyFont="1" applyFill="1" applyBorder="1" applyAlignment="1" applyProtection="1">
      <alignment horizontal="center" vertical="center"/>
      <protection locked="0" hidden="1"/>
    </xf>
    <xf numFmtId="0" fontId="75" fillId="7" borderId="16" xfId="1" applyFont="1" applyFill="1" applyBorder="1" applyAlignment="1" applyProtection="1">
      <alignment horizontal="center" vertical="center"/>
      <protection locked="0" hidden="1"/>
    </xf>
    <xf numFmtId="14" fontId="3" fillId="2" borderId="8" xfId="2" applyNumberFormat="1" applyFont="1" applyFill="1" applyBorder="1" applyAlignment="1" applyProtection="1">
      <alignment horizontal="right" vertical="center"/>
      <protection hidden="1"/>
    </xf>
    <xf numFmtId="14" fontId="3" fillId="2" borderId="9" xfId="2" applyNumberFormat="1" applyFont="1" applyFill="1" applyBorder="1" applyAlignment="1" applyProtection="1">
      <alignment horizontal="right" vertical="center"/>
      <protection hidden="1"/>
    </xf>
    <xf numFmtId="14" fontId="3" fillId="2" borderId="3" xfId="2" applyNumberFormat="1" applyFont="1" applyFill="1" applyBorder="1" applyAlignment="1" applyProtection="1">
      <alignment horizontal="right" vertical="center"/>
      <protection hidden="1"/>
    </xf>
    <xf numFmtId="14" fontId="3" fillId="2" borderId="4" xfId="2" applyNumberFormat="1" applyFont="1" applyFill="1" applyBorder="1" applyAlignment="1" applyProtection="1">
      <alignment horizontal="right" vertical="center"/>
      <protection hidden="1"/>
    </xf>
    <xf numFmtId="0" fontId="5" fillId="2" borderId="28" xfId="2" applyFont="1" applyFill="1" applyBorder="1" applyAlignment="1" applyProtection="1">
      <alignment horizontal="center" vertical="center"/>
      <protection hidden="1"/>
    </xf>
    <xf numFmtId="0" fontId="5" fillId="2" borderId="3" xfId="2" applyFont="1" applyFill="1" applyBorder="1" applyAlignment="1" applyProtection="1">
      <alignment horizontal="center" vertical="center"/>
      <protection hidden="1"/>
    </xf>
    <xf numFmtId="0" fontId="5" fillId="2" borderId="19" xfId="2" applyFont="1" applyFill="1" applyBorder="1" applyAlignment="1" applyProtection="1">
      <alignment horizontal="center" vertical="center"/>
      <protection hidden="1"/>
    </xf>
    <xf numFmtId="0" fontId="5" fillId="2" borderId="17" xfId="2" applyFont="1" applyFill="1" applyBorder="1" applyAlignment="1" applyProtection="1">
      <alignment horizontal="center" vertical="center"/>
      <protection hidden="1"/>
    </xf>
    <xf numFmtId="0" fontId="5" fillId="2" borderId="0" xfId="2" applyFont="1" applyFill="1" applyAlignment="1" applyProtection="1">
      <alignment horizontal="center" vertical="center"/>
      <protection hidden="1"/>
    </xf>
    <xf numFmtId="0" fontId="5" fillId="2" borderId="1" xfId="2" applyFont="1" applyFill="1" applyBorder="1" applyAlignment="1" applyProtection="1">
      <alignment horizontal="center" vertical="center"/>
      <protection hidden="1"/>
    </xf>
    <xf numFmtId="195" fontId="6" fillId="7" borderId="10" xfId="2" applyNumberFormat="1" applyFont="1" applyFill="1" applyBorder="1" applyAlignment="1" applyProtection="1">
      <alignment horizontal="right" vertical="center"/>
      <protection hidden="1"/>
    </xf>
    <xf numFmtId="164" fontId="3" fillId="10" borderId="10" xfId="0" applyNumberFormat="1" applyFont="1" applyFill="1" applyBorder="1" applyAlignment="1" applyProtection="1">
      <alignment horizontal="right" vertical="center"/>
      <protection locked="0" hidden="1"/>
    </xf>
    <xf numFmtId="2" fontId="6" fillId="7" borderId="26" xfId="2" applyNumberFormat="1" applyFont="1" applyFill="1" applyBorder="1" applyAlignment="1" applyProtection="1">
      <alignment horizontal="right" vertical="center"/>
      <protection hidden="1"/>
    </xf>
    <xf numFmtId="0" fontId="9" fillId="3" borderId="10" xfId="2" applyFont="1" applyFill="1" applyBorder="1" applyAlignment="1" applyProtection="1">
      <alignment horizontal="left" vertical="center" wrapText="1"/>
      <protection hidden="1"/>
    </xf>
    <xf numFmtId="0" fontId="9" fillId="3" borderId="26" xfId="2" applyFont="1" applyFill="1" applyBorder="1" applyAlignment="1" applyProtection="1">
      <alignment horizontal="left" vertical="center" wrapText="1"/>
      <protection hidden="1"/>
    </xf>
    <xf numFmtId="0" fontId="3" fillId="10" borderId="29" xfId="2" applyFont="1" applyFill="1" applyBorder="1" applyAlignment="1" applyProtection="1">
      <alignment horizontal="left" vertical="center"/>
      <protection locked="0" hidden="1"/>
    </xf>
    <xf numFmtId="0" fontId="3" fillId="10" borderId="26" xfId="2" applyFont="1" applyFill="1" applyBorder="1" applyAlignment="1" applyProtection="1">
      <alignment horizontal="left" vertical="center"/>
      <protection locked="0" hidden="1"/>
    </xf>
    <xf numFmtId="0" fontId="3" fillId="10" borderId="25" xfId="2" applyFont="1" applyFill="1" applyBorder="1" applyAlignment="1" applyProtection="1">
      <alignment horizontal="left" vertical="center"/>
      <protection locked="0" hidden="1"/>
    </xf>
    <xf numFmtId="173" fontId="3" fillId="10" borderId="10" xfId="2" applyNumberFormat="1" applyFont="1" applyFill="1" applyBorder="1" applyAlignment="1" applyProtection="1">
      <alignment horizontal="right"/>
      <protection locked="0" hidden="1"/>
    </xf>
    <xf numFmtId="173" fontId="3" fillId="10" borderId="26" xfId="2" applyNumberFormat="1" applyFont="1" applyFill="1" applyBorder="1" applyAlignment="1" applyProtection="1">
      <alignment horizontal="right"/>
      <protection locked="0" hidden="1"/>
    </xf>
    <xf numFmtId="0" fontId="9" fillId="3" borderId="10" xfId="2" applyFont="1" applyFill="1" applyBorder="1" applyAlignment="1" applyProtection="1">
      <alignment horizontal="left" vertical="center"/>
      <protection hidden="1"/>
    </xf>
    <xf numFmtId="193" fontId="3" fillId="10" borderId="26" xfId="2" applyNumberFormat="1" applyFont="1" applyFill="1" applyBorder="1" applyAlignment="1" applyProtection="1">
      <alignment horizontal="right" vertical="center"/>
      <protection locked="0" hidden="1"/>
    </xf>
    <xf numFmtId="193" fontId="3" fillId="3" borderId="10" xfId="2" applyNumberFormat="1" applyFont="1" applyFill="1" applyBorder="1" applyAlignment="1" applyProtection="1">
      <alignment horizontal="right" vertical="center"/>
      <protection hidden="1"/>
    </xf>
    <xf numFmtId="0" fontId="3" fillId="7" borderId="29" xfId="2" applyFont="1" applyFill="1" applyBorder="1" applyAlignment="1" applyProtection="1">
      <alignment horizontal="center" vertical="center"/>
      <protection hidden="1"/>
    </xf>
    <xf numFmtId="0" fontId="3" fillId="7" borderId="25" xfId="2" applyFont="1" applyFill="1" applyBorder="1" applyAlignment="1" applyProtection="1">
      <alignment horizontal="center" vertical="center"/>
      <protection hidden="1"/>
    </xf>
    <xf numFmtId="14" fontId="3" fillId="2" borderId="0" xfId="2" applyNumberFormat="1" applyFont="1" applyFill="1" applyAlignment="1" applyProtection="1">
      <alignment horizontal="right" vertical="center"/>
      <protection hidden="1"/>
    </xf>
    <xf numFmtId="14" fontId="3" fillId="2" borderId="6" xfId="2" applyNumberFormat="1" applyFont="1" applyFill="1" applyBorder="1" applyAlignment="1" applyProtection="1">
      <alignment horizontal="right" vertical="center"/>
      <protection hidden="1"/>
    </xf>
    <xf numFmtId="49" fontId="3" fillId="10" borderId="10" xfId="2" applyNumberFormat="1" applyFont="1" applyFill="1" applyBorder="1" applyAlignment="1" applyProtection="1">
      <alignment horizontal="left" vertical="center"/>
      <protection locked="0" hidden="1"/>
    </xf>
    <xf numFmtId="49" fontId="3" fillId="10" borderId="10" xfId="2" applyNumberFormat="1" applyFont="1" applyFill="1" applyBorder="1" applyAlignment="1" applyProtection="1">
      <alignment vertical="center"/>
      <protection locked="0" hidden="1"/>
    </xf>
    <xf numFmtId="49" fontId="3" fillId="10" borderId="26" xfId="2" applyNumberFormat="1" applyFont="1" applyFill="1" applyBorder="1" applyAlignment="1" applyProtection="1">
      <alignment horizontal="left" vertical="center"/>
      <protection locked="0" hidden="1"/>
    </xf>
    <xf numFmtId="0" fontId="3" fillId="10" borderId="10" xfId="2" applyFont="1" applyFill="1" applyBorder="1" applyAlignment="1" applyProtection="1">
      <alignment horizontal="left" vertical="center"/>
      <protection locked="0" hidden="1"/>
    </xf>
    <xf numFmtId="173" fontId="3" fillId="10" borderId="10" xfId="2" applyNumberFormat="1" applyFont="1" applyFill="1" applyBorder="1" applyAlignment="1" applyProtection="1">
      <alignment horizontal="left" vertical="center"/>
      <protection locked="0" hidden="1"/>
    </xf>
    <xf numFmtId="1" fontId="3" fillId="10" borderId="26" xfId="2" applyNumberFormat="1" applyFont="1" applyFill="1" applyBorder="1" applyAlignment="1" applyProtection="1">
      <alignment horizontal="left" vertical="center"/>
      <protection locked="0" hidden="1"/>
    </xf>
    <xf numFmtId="193" fontId="3" fillId="7" borderId="10" xfId="2" applyNumberFormat="1" applyFont="1" applyFill="1" applyBorder="1" applyAlignment="1" applyProtection="1">
      <alignment horizontal="right" vertical="center"/>
      <protection locked="0" hidden="1"/>
    </xf>
    <xf numFmtId="0" fontId="9" fillId="10" borderId="10" xfId="2" applyFont="1" applyFill="1" applyBorder="1" applyAlignment="1" applyProtection="1">
      <alignment horizontal="left" vertical="center"/>
      <protection locked="0" hidden="1"/>
    </xf>
    <xf numFmtId="165" fontId="3" fillId="10" borderId="29" xfId="2" applyNumberFormat="1" applyFont="1" applyFill="1" applyBorder="1" applyAlignment="1" applyProtection="1">
      <alignment horizontal="left" vertical="center"/>
      <protection locked="0" hidden="1"/>
    </xf>
    <xf numFmtId="165" fontId="3" fillId="10" borderId="25" xfId="2" applyNumberFormat="1" applyFont="1" applyFill="1" applyBorder="1" applyAlignment="1" applyProtection="1">
      <alignment horizontal="left" vertical="center"/>
      <protection locked="0" hidden="1"/>
    </xf>
    <xf numFmtId="0" fontId="9" fillId="0" borderId="13" xfId="2" applyFont="1" applyBorder="1" applyAlignment="1" applyProtection="1">
      <alignment horizontal="center"/>
      <protection hidden="1"/>
    </xf>
    <xf numFmtId="0" fontId="9" fillId="0" borderId="0" xfId="2" applyFont="1" applyAlignment="1" applyProtection="1">
      <alignment horizontal="center"/>
      <protection hidden="1"/>
    </xf>
    <xf numFmtId="193" fontId="6" fillId="7" borderId="10" xfId="2" applyNumberFormat="1" applyFont="1" applyFill="1" applyBorder="1" applyAlignment="1" applyProtection="1">
      <alignment horizontal="right" vertical="center"/>
      <protection hidden="1"/>
    </xf>
    <xf numFmtId="0" fontId="9" fillId="10" borderId="10" xfId="2" applyFont="1" applyFill="1" applyBorder="1" applyAlignment="1" applyProtection="1">
      <alignment horizontal="left" vertical="center"/>
      <protection hidden="1"/>
    </xf>
    <xf numFmtId="0" fontId="9" fillId="3" borderId="26" xfId="2" applyFont="1" applyFill="1" applyBorder="1" applyAlignment="1" applyProtection="1">
      <alignment horizontal="left" vertical="center"/>
      <protection hidden="1"/>
    </xf>
    <xf numFmtId="193" fontId="3" fillId="10" borderId="10" xfId="2" applyNumberFormat="1" applyFont="1" applyFill="1" applyBorder="1" applyAlignment="1" applyProtection="1">
      <alignment horizontal="right" vertical="center"/>
      <protection locked="0" hidden="1"/>
    </xf>
    <xf numFmtId="165" fontId="17" fillId="3" borderId="29" xfId="2" applyNumberFormat="1" applyFill="1" applyBorder="1" applyProtection="1">
      <protection hidden="1"/>
    </xf>
    <xf numFmtId="165" fontId="17" fillId="3" borderId="25" xfId="2" applyNumberFormat="1" applyFill="1" applyBorder="1" applyProtection="1">
      <protection hidden="1"/>
    </xf>
    <xf numFmtId="0" fontId="17" fillId="3" borderId="0" xfId="2" applyFill="1" applyProtection="1">
      <protection hidden="1"/>
    </xf>
    <xf numFmtId="178" fontId="28" fillId="3" borderId="0" xfId="2" applyNumberFormat="1" applyFont="1" applyFill="1" applyAlignment="1" applyProtection="1">
      <alignment horizontal="left"/>
      <protection locked="0" hidden="1"/>
    </xf>
    <xf numFmtId="14" fontId="28" fillId="3" borderId="0" xfId="2" applyNumberFormat="1" applyFont="1" applyFill="1" applyAlignment="1" applyProtection="1">
      <alignment horizontal="center"/>
      <protection hidden="1"/>
    </xf>
    <xf numFmtId="0" fontId="7" fillId="3" borderId="10" xfId="2" applyFont="1" applyFill="1" applyBorder="1" applyAlignment="1" applyProtection="1">
      <alignment horizontal="left"/>
      <protection hidden="1"/>
    </xf>
    <xf numFmtId="0" fontId="26" fillId="3" borderId="15" xfId="2" applyFont="1" applyFill="1" applyBorder="1" applyAlignment="1" applyProtection="1">
      <alignment horizontal="left"/>
      <protection hidden="1"/>
    </xf>
    <xf numFmtId="0" fontId="26" fillId="3" borderId="10" xfId="2" applyFont="1" applyFill="1" applyBorder="1" applyAlignment="1" applyProtection="1">
      <alignment horizontal="left"/>
      <protection hidden="1"/>
    </xf>
    <xf numFmtId="0" fontId="26" fillId="3" borderId="0" xfId="2" applyFont="1" applyFill="1" applyAlignment="1" applyProtection="1">
      <alignment horizontal="left"/>
      <protection hidden="1"/>
    </xf>
    <xf numFmtId="0" fontId="10" fillId="3" borderId="10" xfId="2" applyFont="1" applyFill="1" applyBorder="1" applyAlignment="1" applyProtection="1">
      <alignment horizontal="left"/>
      <protection hidden="1"/>
    </xf>
    <xf numFmtId="0" fontId="29" fillId="3" borderId="33" xfId="2" applyFont="1" applyFill="1" applyBorder="1" applyAlignment="1" applyProtection="1">
      <alignment horizontal="left"/>
      <protection hidden="1"/>
    </xf>
    <xf numFmtId="0" fontId="29" fillId="3" borderId="0" xfId="2" applyFont="1" applyFill="1" applyAlignment="1" applyProtection="1">
      <alignment horizontal="left"/>
      <protection hidden="1"/>
    </xf>
    <xf numFmtId="0" fontId="29" fillId="3" borderId="34" xfId="2" applyFont="1" applyFill="1" applyBorder="1" applyAlignment="1" applyProtection="1">
      <alignment horizontal="left"/>
      <protection hidden="1"/>
    </xf>
    <xf numFmtId="189" fontId="28" fillId="3" borderId="33" xfId="2" applyNumberFormat="1" applyFont="1" applyFill="1" applyBorder="1" applyAlignment="1" applyProtection="1">
      <alignment horizontal="left"/>
      <protection hidden="1"/>
    </xf>
    <xf numFmtId="189" fontId="28" fillId="3" borderId="0" xfId="2" applyNumberFormat="1" applyFont="1" applyFill="1" applyAlignment="1" applyProtection="1">
      <alignment horizontal="left"/>
      <protection hidden="1"/>
    </xf>
    <xf numFmtId="189" fontId="28" fillId="3" borderId="34" xfId="2" applyNumberFormat="1" applyFont="1" applyFill="1" applyBorder="1" applyAlignment="1" applyProtection="1">
      <alignment horizontal="left"/>
      <protection hidden="1"/>
    </xf>
    <xf numFmtId="0" fontId="28" fillId="3" borderId="33" xfId="2" applyFont="1" applyFill="1" applyBorder="1" applyAlignment="1" applyProtection="1">
      <alignment horizontal="left"/>
      <protection locked="0" hidden="1"/>
    </xf>
    <xf numFmtId="0" fontId="28" fillId="3" borderId="0" xfId="2" applyFont="1" applyFill="1" applyAlignment="1" applyProtection="1">
      <alignment horizontal="left"/>
      <protection locked="0" hidden="1"/>
    </xf>
    <xf numFmtId="0" fontId="28" fillId="3" borderId="34" xfId="2" applyFont="1" applyFill="1" applyBorder="1" applyAlignment="1" applyProtection="1">
      <alignment horizontal="left"/>
      <protection locked="0" hidden="1"/>
    </xf>
    <xf numFmtId="0" fontId="28" fillId="3" borderId="33" xfId="2" applyFont="1" applyFill="1" applyBorder="1" applyAlignment="1" applyProtection="1">
      <alignment horizontal="left"/>
      <protection hidden="1"/>
    </xf>
    <xf numFmtId="0" fontId="28" fillId="3" borderId="0" xfId="2" applyFont="1" applyFill="1" applyAlignment="1" applyProtection="1">
      <alignment horizontal="left"/>
      <protection hidden="1"/>
    </xf>
    <xf numFmtId="0" fontId="28" fillId="3" borderId="34" xfId="2" applyFont="1" applyFill="1" applyBorder="1" applyAlignment="1" applyProtection="1">
      <alignment horizontal="left"/>
      <protection hidden="1"/>
    </xf>
    <xf numFmtId="0" fontId="28" fillId="3" borderId="30" xfId="2" applyFont="1" applyFill="1" applyBorder="1" applyAlignment="1" applyProtection="1">
      <alignment horizontal="left"/>
      <protection locked="0" hidden="1"/>
    </xf>
    <xf numFmtId="0" fontId="28" fillId="3" borderId="31" xfId="2" applyFont="1" applyFill="1" applyBorder="1" applyAlignment="1" applyProtection="1">
      <alignment horizontal="left"/>
      <protection locked="0" hidden="1"/>
    </xf>
    <xf numFmtId="0" fontId="28" fillId="3" borderId="32" xfId="2" applyFont="1" applyFill="1" applyBorder="1" applyAlignment="1" applyProtection="1">
      <alignment horizontal="left"/>
      <protection locked="0" hidden="1"/>
    </xf>
    <xf numFmtId="164" fontId="3" fillId="10" borderId="10" xfId="2" applyNumberFormat="1" applyFont="1" applyFill="1" applyBorder="1" applyAlignment="1" applyProtection="1">
      <alignment horizontal="right" vertical="center"/>
      <protection locked="0" hidden="1"/>
    </xf>
    <xf numFmtId="0" fontId="3" fillId="3" borderId="10" xfId="2" applyFont="1" applyFill="1" applyBorder="1" applyAlignment="1" applyProtection="1">
      <alignment horizontal="center" vertical="center"/>
      <protection locked="0" hidden="1"/>
    </xf>
    <xf numFmtId="1" fontId="3" fillId="7" borderId="10" xfId="2" applyNumberFormat="1" applyFont="1" applyFill="1" applyBorder="1" applyAlignment="1" applyProtection="1">
      <alignment horizontal="right" vertical="center"/>
      <protection hidden="1"/>
    </xf>
    <xf numFmtId="1" fontId="3" fillId="10" borderId="26" xfId="2" applyNumberFormat="1" applyFont="1" applyFill="1" applyBorder="1" applyAlignment="1" applyProtection="1">
      <alignment horizontal="right" vertical="center"/>
      <protection locked="0" hidden="1"/>
    </xf>
    <xf numFmtId="0" fontId="6" fillId="2" borderId="8" xfId="2" applyFont="1" applyFill="1" applyBorder="1" applyAlignment="1" applyProtection="1">
      <alignment horizontal="left"/>
      <protection hidden="1"/>
    </xf>
    <xf numFmtId="4" fontId="3" fillId="7" borderId="10" xfId="2" applyNumberFormat="1" applyFont="1" applyFill="1" applyBorder="1" applyAlignment="1" applyProtection="1">
      <alignment horizontal="right" vertical="center"/>
      <protection hidden="1"/>
    </xf>
    <xf numFmtId="1" fontId="3" fillId="10" borderId="10" xfId="2" applyNumberFormat="1" applyFont="1" applyFill="1" applyBorder="1" applyAlignment="1" applyProtection="1">
      <alignment horizontal="right" vertical="center"/>
      <protection locked="0" hidden="1"/>
    </xf>
    <xf numFmtId="1" fontId="3" fillId="3" borderId="10" xfId="2" applyNumberFormat="1" applyFont="1" applyFill="1" applyBorder="1" applyAlignment="1" applyProtection="1">
      <alignment horizontal="right" vertical="center"/>
      <protection hidden="1"/>
    </xf>
    <xf numFmtId="1" fontId="3" fillId="10" borderId="10" xfId="0" applyNumberFormat="1" applyFont="1" applyFill="1" applyBorder="1" applyAlignment="1" applyProtection="1">
      <alignment horizontal="right" vertical="center"/>
      <protection locked="0" hidden="1"/>
    </xf>
    <xf numFmtId="2" fontId="3" fillId="10" borderId="10" xfId="2" applyNumberFormat="1" applyFont="1" applyFill="1" applyBorder="1" applyAlignment="1" applyProtection="1">
      <alignment horizontal="right" vertical="center"/>
      <protection locked="0" hidden="1"/>
    </xf>
    <xf numFmtId="170" fontId="3" fillId="10" borderId="10" xfId="2" applyNumberFormat="1" applyFont="1" applyFill="1" applyBorder="1" applyAlignment="1" applyProtection="1">
      <alignment horizontal="right" vertical="center"/>
      <protection locked="0" hidden="1"/>
    </xf>
    <xf numFmtId="0" fontId="3" fillId="3" borderId="10" xfId="2" applyFont="1" applyFill="1" applyBorder="1" applyAlignment="1" applyProtection="1">
      <alignment horizontal="left" vertical="center"/>
      <protection hidden="1"/>
    </xf>
    <xf numFmtId="0" fontId="21" fillId="10" borderId="12" xfId="2" applyFont="1" applyFill="1" applyBorder="1" applyAlignment="1" applyProtection="1">
      <alignment horizontal="left" vertical="top" wrapText="1"/>
      <protection locked="0" hidden="1"/>
    </xf>
    <xf numFmtId="0" fontId="21" fillId="10" borderId="13" xfId="2" applyFont="1" applyFill="1" applyBorder="1" applyAlignment="1" applyProtection="1">
      <alignment horizontal="left" vertical="top" wrapText="1"/>
      <protection locked="0" hidden="1"/>
    </xf>
    <xf numFmtId="0" fontId="21" fillId="10" borderId="14" xfId="2" applyFont="1" applyFill="1" applyBorder="1" applyAlignment="1" applyProtection="1">
      <alignment horizontal="left" vertical="top" wrapText="1"/>
      <protection locked="0" hidden="1"/>
    </xf>
    <xf numFmtId="0" fontId="21" fillId="10" borderId="17" xfId="2" applyFont="1" applyFill="1" applyBorder="1" applyAlignment="1" applyProtection="1">
      <alignment horizontal="left" vertical="top" wrapText="1"/>
      <protection locked="0" hidden="1"/>
    </xf>
    <xf numFmtId="0" fontId="21" fillId="10" borderId="0" xfId="2" applyFont="1" applyFill="1" applyAlignment="1" applyProtection="1">
      <alignment horizontal="left" vertical="top" wrapText="1"/>
      <protection locked="0" hidden="1"/>
    </xf>
    <xf numFmtId="0" fontId="21" fillId="10" borderId="1" xfId="2" applyFont="1" applyFill="1" applyBorder="1" applyAlignment="1" applyProtection="1">
      <alignment horizontal="left" vertical="top" wrapText="1"/>
      <protection locked="0" hidden="1"/>
    </xf>
    <xf numFmtId="0" fontId="21" fillId="10" borderId="15" xfId="2" applyFont="1" applyFill="1" applyBorder="1" applyAlignment="1" applyProtection="1">
      <alignment horizontal="left" vertical="top" wrapText="1"/>
      <protection locked="0" hidden="1"/>
    </xf>
    <xf numFmtId="0" fontId="21" fillId="10" borderId="10" xfId="2" applyFont="1" applyFill="1" applyBorder="1" applyAlignment="1" applyProtection="1">
      <alignment horizontal="left" vertical="top" wrapText="1"/>
      <protection locked="0" hidden="1"/>
    </xf>
    <xf numFmtId="0" fontId="21" fillId="10" borderId="16" xfId="2" applyFont="1" applyFill="1" applyBorder="1" applyAlignment="1" applyProtection="1">
      <alignment horizontal="left" vertical="top" wrapText="1"/>
      <protection locked="0" hidden="1"/>
    </xf>
    <xf numFmtId="164" fontId="3" fillId="10" borderId="10" xfId="2" applyNumberFormat="1" applyFont="1" applyFill="1" applyBorder="1" applyAlignment="1" applyProtection="1">
      <alignment horizontal="center" vertical="center"/>
      <protection locked="0" hidden="1"/>
    </xf>
    <xf numFmtId="0" fontId="3" fillId="10" borderId="10" xfId="2" applyFont="1" applyFill="1" applyBorder="1" applyAlignment="1" applyProtection="1">
      <alignment horizontal="right" vertical="center"/>
      <protection locked="0" hidden="1"/>
    </xf>
    <xf numFmtId="171" fontId="3" fillId="7" borderId="10" xfId="2" applyNumberFormat="1" applyFont="1" applyFill="1" applyBorder="1" applyAlignment="1" applyProtection="1">
      <alignment horizontal="left" vertical="center"/>
      <protection hidden="1"/>
    </xf>
    <xf numFmtId="185" fontId="3" fillId="3" borderId="0" xfId="3" applyNumberFormat="1" applyFont="1" applyFill="1" applyAlignment="1" applyProtection="1">
      <alignment horizontal="right" vertical="center"/>
      <protection hidden="1"/>
    </xf>
    <xf numFmtId="2" fontId="3" fillId="10" borderId="10" xfId="3" applyNumberFormat="1" applyFont="1" applyFill="1" applyBorder="1" applyAlignment="1" applyProtection="1">
      <alignment horizontal="right" vertical="center"/>
      <protection locked="0" hidden="1"/>
    </xf>
    <xf numFmtId="199" fontId="3" fillId="3" borderId="10" xfId="2" applyNumberFormat="1" applyFont="1" applyFill="1" applyBorder="1" applyAlignment="1" applyProtection="1">
      <alignment horizontal="left" vertical="center"/>
      <protection locked="0" hidden="1"/>
    </xf>
    <xf numFmtId="199" fontId="3" fillId="3" borderId="26" xfId="2" applyNumberFormat="1" applyFont="1" applyFill="1" applyBorder="1" applyAlignment="1" applyProtection="1">
      <alignment horizontal="left" vertical="center"/>
      <protection locked="0" hidden="1"/>
    </xf>
    <xf numFmtId="172" fontId="3" fillId="3" borderId="10" xfId="2" applyNumberFormat="1" applyFont="1" applyFill="1" applyBorder="1" applyAlignment="1" applyProtection="1">
      <alignment horizontal="left" vertical="center"/>
      <protection hidden="1"/>
    </xf>
    <xf numFmtId="1" fontId="3" fillId="3" borderId="26" xfId="2" applyNumberFormat="1" applyFont="1" applyFill="1" applyBorder="1" applyAlignment="1" applyProtection="1">
      <alignment horizontal="left" vertical="center"/>
      <protection hidden="1"/>
    </xf>
    <xf numFmtId="172" fontId="3" fillId="3" borderId="13" xfId="2" applyNumberFormat="1" applyFont="1" applyFill="1" applyBorder="1" applyAlignment="1" applyProtection="1">
      <alignment horizontal="left" vertical="center"/>
      <protection hidden="1"/>
    </xf>
    <xf numFmtId="172" fontId="3" fillId="3" borderId="26" xfId="2" applyNumberFormat="1" applyFont="1" applyFill="1" applyBorder="1" applyAlignment="1" applyProtection="1">
      <alignment horizontal="left" vertical="center"/>
      <protection hidden="1"/>
    </xf>
    <xf numFmtId="0" fontId="3" fillId="2" borderId="3" xfId="2" applyFont="1" applyFill="1" applyBorder="1" applyAlignment="1" applyProtection="1">
      <alignment horizontal="right" vertical="center"/>
      <protection hidden="1"/>
    </xf>
    <xf numFmtId="0" fontId="3" fillId="2" borderId="4" xfId="2" applyFont="1" applyFill="1" applyBorder="1" applyAlignment="1" applyProtection="1">
      <alignment horizontal="right" vertical="center"/>
      <protection hidden="1"/>
    </xf>
    <xf numFmtId="14" fontId="3" fillId="7" borderId="10" xfId="0" applyNumberFormat="1" applyFont="1" applyFill="1" applyBorder="1" applyAlignment="1" applyProtection="1">
      <alignment horizontal="left" vertical="center"/>
      <protection hidden="1"/>
    </xf>
    <xf numFmtId="0" fontId="5" fillId="2" borderId="27" xfId="2" applyFont="1" applyFill="1" applyBorder="1" applyAlignment="1" applyProtection="1">
      <alignment horizontal="center" vertical="center"/>
      <protection hidden="1"/>
    </xf>
    <xf numFmtId="0" fontId="5" fillId="2" borderId="8" xfId="2" applyFont="1" applyFill="1" applyBorder="1" applyAlignment="1" applyProtection="1">
      <alignment horizontal="center" vertical="center"/>
      <protection hidden="1"/>
    </xf>
    <xf numFmtId="0" fontId="5" fillId="2" borderId="20" xfId="2" applyFont="1" applyFill="1" applyBorder="1" applyAlignment="1" applyProtection="1">
      <alignment horizontal="center" vertical="center"/>
      <protection hidden="1"/>
    </xf>
    <xf numFmtId="1" fontId="11" fillId="3" borderId="8" xfId="2" applyNumberFormat="1" applyFont="1" applyFill="1" applyBorder="1" applyAlignment="1" applyProtection="1">
      <alignment horizontal="right"/>
      <protection hidden="1"/>
    </xf>
    <xf numFmtId="0" fontId="3" fillId="2" borderId="0" xfId="2" applyFont="1" applyFill="1" applyAlignment="1" applyProtection="1">
      <alignment horizontal="center" vertical="center"/>
      <protection hidden="1"/>
    </xf>
    <xf numFmtId="0" fontId="3" fillId="7" borderId="10" xfId="0" applyFont="1" applyFill="1" applyBorder="1" applyAlignment="1" applyProtection="1">
      <alignment horizontal="left" vertical="center"/>
      <protection hidden="1"/>
    </xf>
    <xf numFmtId="164" fontId="9" fillId="10" borderId="10" xfId="2" applyNumberFormat="1" applyFont="1" applyFill="1" applyBorder="1" applyAlignment="1" applyProtection="1">
      <alignment horizontal="right" vertical="center"/>
      <protection locked="0" hidden="1"/>
    </xf>
    <xf numFmtId="0" fontId="6" fillId="10" borderId="10" xfId="2" applyFont="1" applyFill="1" applyBorder="1" applyAlignment="1" applyProtection="1">
      <alignment horizontal="left" vertical="center"/>
      <protection locked="0" hidden="1"/>
    </xf>
    <xf numFmtId="170" fontId="11" fillId="3" borderId="8" xfId="2" applyNumberFormat="1" applyFont="1" applyFill="1" applyBorder="1" applyAlignment="1" applyProtection="1">
      <alignment horizontal="right"/>
      <protection hidden="1"/>
    </xf>
    <xf numFmtId="168" fontId="11" fillId="3" borderId="8" xfId="2" applyNumberFormat="1" applyFont="1" applyFill="1" applyBorder="1" applyAlignment="1" applyProtection="1">
      <alignment horizontal="right" vertical="center"/>
      <protection hidden="1"/>
    </xf>
    <xf numFmtId="1" fontId="3" fillId="3" borderId="26" xfId="2" applyNumberFormat="1" applyFont="1" applyFill="1" applyBorder="1" applyAlignment="1" applyProtection="1">
      <alignment horizontal="right" vertical="center"/>
      <protection hidden="1"/>
    </xf>
    <xf numFmtId="1" fontId="3" fillId="10" borderId="26" xfId="0" applyNumberFormat="1" applyFont="1" applyFill="1" applyBorder="1" applyAlignment="1" applyProtection="1">
      <alignment horizontal="right" vertical="center"/>
      <protection locked="0" hidden="1"/>
    </xf>
    <xf numFmtId="164" fontId="3" fillId="7" borderId="26" xfId="0" applyNumberFormat="1" applyFont="1" applyFill="1" applyBorder="1" applyAlignment="1" applyProtection="1">
      <alignment horizontal="right" vertical="center"/>
      <protection hidden="1"/>
    </xf>
    <xf numFmtId="197" fontId="3" fillId="10" borderId="10" xfId="0" applyNumberFormat="1" applyFont="1" applyFill="1" applyBorder="1" applyAlignment="1" applyProtection="1">
      <alignment horizontal="center" vertical="center"/>
      <protection locked="0" hidden="1"/>
    </xf>
    <xf numFmtId="165" fontId="3" fillId="10" borderId="10" xfId="0" applyNumberFormat="1" applyFont="1" applyFill="1" applyBorder="1" applyAlignment="1" applyProtection="1">
      <alignment horizontal="right" vertical="center"/>
      <protection locked="0" hidden="1"/>
    </xf>
    <xf numFmtId="164" fontId="6" fillId="7" borderId="10" xfId="0" applyNumberFormat="1" applyFont="1" applyFill="1" applyBorder="1" applyAlignment="1" applyProtection="1">
      <alignment horizontal="right" vertical="center"/>
      <protection hidden="1"/>
    </xf>
    <xf numFmtId="165" fontId="3" fillId="7" borderId="10" xfId="0" applyNumberFormat="1" applyFont="1" applyFill="1" applyBorder="1" applyAlignment="1" applyProtection="1">
      <alignment horizontal="right" vertical="center"/>
      <protection hidden="1"/>
    </xf>
    <xf numFmtId="177" fontId="3" fillId="7" borderId="10" xfId="0" applyNumberFormat="1" applyFont="1" applyFill="1" applyBorder="1" applyAlignment="1" applyProtection="1">
      <alignment horizontal="right" vertical="center"/>
      <protection hidden="1"/>
    </xf>
    <xf numFmtId="0" fontId="3" fillId="3" borderId="10" xfId="0" applyFont="1" applyFill="1" applyBorder="1" applyAlignment="1" applyProtection="1">
      <alignment horizontal="left" vertical="center"/>
      <protection hidden="1"/>
    </xf>
    <xf numFmtId="1" fontId="3" fillId="7" borderId="26" xfId="0" applyNumberFormat="1" applyFont="1" applyFill="1" applyBorder="1" applyAlignment="1" applyProtection="1">
      <alignment horizontal="right" vertical="center"/>
      <protection hidden="1"/>
    </xf>
    <xf numFmtId="20" fontId="3" fillId="7" borderId="26" xfId="0" applyNumberFormat="1" applyFont="1" applyFill="1" applyBorder="1" applyAlignment="1" applyProtection="1">
      <alignment horizontal="right" vertical="center"/>
      <protection hidden="1"/>
    </xf>
    <xf numFmtId="0" fontId="3" fillId="7" borderId="26" xfId="0" applyFont="1" applyFill="1" applyBorder="1" applyAlignment="1" applyProtection="1">
      <alignment horizontal="right" vertical="center"/>
      <protection hidden="1"/>
    </xf>
    <xf numFmtId="0" fontId="9" fillId="2" borderId="13" xfId="0" applyFont="1" applyFill="1" applyBorder="1" applyAlignment="1" applyProtection="1">
      <alignment horizontal="center"/>
      <protection hidden="1"/>
    </xf>
    <xf numFmtId="164" fontId="11" fillId="7" borderId="29" xfId="0" applyNumberFormat="1" applyFont="1" applyFill="1" applyBorder="1" applyAlignment="1" applyProtection="1">
      <alignment horizontal="right" vertical="center"/>
      <protection hidden="1"/>
    </xf>
    <xf numFmtId="164" fontId="11" fillId="7" borderId="26" xfId="0" applyNumberFormat="1" applyFont="1" applyFill="1" applyBorder="1" applyAlignment="1" applyProtection="1">
      <alignment horizontal="right" vertical="center"/>
      <protection hidden="1"/>
    </xf>
    <xf numFmtId="164" fontId="11" fillId="7" borderId="25" xfId="0" applyNumberFormat="1" applyFont="1" applyFill="1" applyBorder="1" applyAlignment="1" applyProtection="1">
      <alignment horizontal="right" vertical="center"/>
      <protection hidden="1"/>
    </xf>
    <xf numFmtId="164" fontId="3" fillId="10" borderId="10" xfId="0" applyNumberFormat="1" applyFont="1" applyFill="1" applyBorder="1" applyAlignment="1" applyProtection="1">
      <alignment horizontal="right" vertical="center"/>
      <protection hidden="1"/>
    </xf>
    <xf numFmtId="164" fontId="9" fillId="7" borderId="10" xfId="0" applyNumberFormat="1" applyFont="1" applyFill="1" applyBorder="1" applyAlignment="1" applyProtection="1">
      <alignment horizontal="right" vertical="center"/>
      <protection hidden="1"/>
    </xf>
    <xf numFmtId="164" fontId="9" fillId="10" borderId="10" xfId="0" applyNumberFormat="1" applyFont="1" applyFill="1" applyBorder="1" applyAlignment="1" applyProtection="1">
      <alignment horizontal="right" vertical="center"/>
      <protection locked="0" hidden="1"/>
    </xf>
    <xf numFmtId="20" fontId="3" fillId="7" borderId="10" xfId="0" applyNumberFormat="1" applyFont="1" applyFill="1" applyBorder="1" applyAlignment="1" applyProtection="1">
      <alignment horizontal="right" vertical="center"/>
      <protection hidden="1"/>
    </xf>
    <xf numFmtId="1" fontId="3" fillId="7" borderId="10" xfId="0" applyNumberFormat="1" applyFont="1" applyFill="1" applyBorder="1" applyAlignment="1" applyProtection="1">
      <alignment horizontal="right" vertical="center"/>
      <protection hidden="1"/>
    </xf>
    <xf numFmtId="0" fontId="3" fillId="3" borderId="26" xfId="0" applyFont="1" applyFill="1" applyBorder="1" applyAlignment="1" applyProtection="1">
      <alignment horizontal="left" vertical="center"/>
      <protection hidden="1"/>
    </xf>
    <xf numFmtId="164" fontId="9" fillId="10" borderId="26" xfId="0" applyNumberFormat="1" applyFont="1" applyFill="1" applyBorder="1" applyAlignment="1" applyProtection="1">
      <alignment horizontal="right" vertical="center"/>
      <protection locked="0" hidden="1"/>
    </xf>
    <xf numFmtId="200" fontId="3" fillId="3" borderId="10" xfId="0" applyNumberFormat="1" applyFont="1" applyFill="1" applyBorder="1" applyAlignment="1" applyProtection="1">
      <alignment horizontal="left" vertical="center"/>
      <protection hidden="1"/>
    </xf>
    <xf numFmtId="164" fontId="3" fillId="3" borderId="10" xfId="0" applyNumberFormat="1" applyFont="1" applyFill="1" applyBorder="1" applyAlignment="1" applyProtection="1">
      <alignment horizontal="right" vertical="center"/>
      <protection hidden="1"/>
    </xf>
    <xf numFmtId="164" fontId="3" fillId="7" borderId="10" xfId="0" applyNumberFormat="1" applyFont="1" applyFill="1" applyBorder="1" applyAlignment="1" applyProtection="1">
      <alignment horizontal="right" vertical="center"/>
      <protection hidden="1"/>
    </xf>
    <xf numFmtId="164" fontId="3" fillId="10" borderId="10" xfId="0" applyNumberFormat="1" applyFont="1" applyFill="1" applyBorder="1" applyAlignment="1" applyProtection="1">
      <alignment horizontal="right" wrapText="1"/>
      <protection locked="0" hidden="1"/>
    </xf>
    <xf numFmtId="164" fontId="9" fillId="7" borderId="26" xfId="0" applyNumberFormat="1" applyFont="1" applyFill="1" applyBorder="1" applyAlignment="1" applyProtection="1">
      <alignment horizontal="right" vertical="center"/>
      <protection hidden="1"/>
    </xf>
    <xf numFmtId="14" fontId="3" fillId="2" borderId="3" xfId="0" applyNumberFormat="1" applyFont="1" applyFill="1" applyBorder="1" applyAlignment="1" applyProtection="1">
      <alignment horizontal="right" vertical="center"/>
      <protection hidden="1"/>
    </xf>
    <xf numFmtId="14" fontId="3" fillId="2" borderId="4" xfId="0" applyNumberFormat="1" applyFont="1" applyFill="1" applyBorder="1" applyAlignment="1" applyProtection="1">
      <alignment horizontal="right" vertical="center"/>
      <protection hidden="1"/>
    </xf>
    <xf numFmtId="0" fontId="5" fillId="2" borderId="28"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9" xfId="0" applyFont="1" applyFill="1" applyBorder="1" applyAlignment="1" applyProtection="1">
      <alignment horizontal="center" vertical="center"/>
      <protection hidden="1"/>
    </xf>
    <xf numFmtId="0" fontId="5" fillId="2" borderId="2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0" fontId="5" fillId="2" borderId="20" xfId="0" applyFont="1" applyFill="1" applyBorder="1" applyAlignment="1" applyProtection="1">
      <alignment horizontal="center" vertical="center"/>
      <protection hidden="1"/>
    </xf>
    <xf numFmtId="14" fontId="3" fillId="7" borderId="10" xfId="0" applyNumberFormat="1" applyFont="1" applyFill="1" applyBorder="1" applyAlignment="1" applyProtection="1">
      <alignment horizontal="center" vertical="center"/>
      <protection hidden="1"/>
    </xf>
    <xf numFmtId="200" fontId="3" fillId="3" borderId="26" xfId="0" applyNumberFormat="1" applyFont="1" applyFill="1" applyBorder="1" applyAlignment="1" applyProtection="1">
      <alignment horizontal="left" vertical="center"/>
      <protection hidden="1"/>
    </xf>
    <xf numFmtId="20" fontId="3" fillId="10" borderId="26" xfId="0" applyNumberFormat="1" applyFont="1" applyFill="1" applyBorder="1" applyAlignment="1" applyProtection="1">
      <alignment horizontal="right" vertical="center"/>
      <protection locked="0" hidden="1"/>
    </xf>
    <xf numFmtId="0" fontId="3" fillId="10" borderId="26" xfId="0" applyFont="1" applyFill="1" applyBorder="1" applyAlignment="1" applyProtection="1">
      <alignment horizontal="right" vertical="center"/>
      <protection locked="0" hidden="1"/>
    </xf>
    <xf numFmtId="164" fontId="3" fillId="10" borderId="0" xfId="0" applyNumberFormat="1" applyFont="1" applyFill="1" applyAlignment="1" applyProtection="1">
      <alignment horizontal="right" vertical="center"/>
      <protection locked="0" hidden="1"/>
    </xf>
    <xf numFmtId="0" fontId="6" fillId="7" borderId="10" xfId="0" applyFont="1" applyFill="1" applyBorder="1" applyAlignment="1" applyProtection="1">
      <alignment horizontal="left" vertical="center"/>
      <protection hidden="1"/>
    </xf>
    <xf numFmtId="165" fontId="3" fillId="10" borderId="26" xfId="0" applyNumberFormat="1" applyFont="1" applyFill="1" applyBorder="1" applyAlignment="1" applyProtection="1">
      <alignment horizontal="right" vertical="center"/>
      <protection locked="0" hidden="1"/>
    </xf>
    <xf numFmtId="0" fontId="7" fillId="2" borderId="13" xfId="0" applyFont="1" applyFill="1" applyBorder="1" applyAlignment="1" applyProtection="1">
      <alignment horizontal="left" vertical="center"/>
      <protection hidden="1"/>
    </xf>
    <xf numFmtId="0" fontId="7" fillId="2" borderId="0" xfId="0" applyFont="1" applyFill="1" applyAlignment="1" applyProtection="1">
      <alignment horizontal="left" vertical="center"/>
      <protection hidden="1"/>
    </xf>
    <xf numFmtId="20" fontId="3" fillId="10" borderId="10" xfId="0" applyNumberFormat="1" applyFont="1" applyFill="1" applyBorder="1" applyAlignment="1" applyProtection="1">
      <alignment horizontal="right" vertical="center"/>
      <protection locked="0" hidden="1"/>
    </xf>
    <xf numFmtId="1" fontId="3" fillId="7" borderId="10" xfId="0" applyNumberFormat="1" applyFont="1" applyFill="1" applyBorder="1" applyAlignment="1" applyProtection="1">
      <alignment horizontal="right" vertical="center" wrapText="1"/>
      <protection hidden="1"/>
    </xf>
    <xf numFmtId="1" fontId="3" fillId="3" borderId="26" xfId="0" applyNumberFormat="1" applyFont="1" applyFill="1" applyBorder="1" applyAlignment="1" applyProtection="1">
      <alignment horizontal="left" vertical="center"/>
      <protection hidden="1"/>
    </xf>
    <xf numFmtId="0" fontId="18" fillId="3" borderId="11" xfId="0" applyFont="1" applyFill="1" applyBorder="1" applyAlignment="1" applyProtection="1">
      <alignment horizontal="left" vertical="top" wrapText="1"/>
      <protection hidden="1"/>
    </xf>
    <xf numFmtId="0" fontId="3" fillId="3" borderId="16" xfId="2" applyFont="1" applyFill="1" applyBorder="1" applyAlignment="1" applyProtection="1">
      <alignment horizontal="left" vertical="center"/>
      <protection hidden="1"/>
    </xf>
    <xf numFmtId="164" fontId="9" fillId="7" borderId="10" xfId="0" applyNumberFormat="1" applyFont="1" applyFill="1" applyBorder="1" applyAlignment="1" applyProtection="1">
      <alignment horizontal="right" vertical="center" wrapText="1"/>
      <protection hidden="1"/>
    </xf>
    <xf numFmtId="165" fontId="3" fillId="3" borderId="10" xfId="0" applyNumberFormat="1" applyFont="1" applyFill="1" applyBorder="1" applyAlignment="1" applyProtection="1">
      <alignment horizontal="right" vertical="center"/>
      <protection locked="0" hidden="1"/>
    </xf>
    <xf numFmtId="197" fontId="3" fillId="3" borderId="10" xfId="0" applyNumberFormat="1" applyFont="1" applyFill="1" applyBorder="1" applyAlignment="1" applyProtection="1">
      <alignment horizontal="center" vertical="center"/>
      <protection locked="0" hidden="1"/>
    </xf>
    <xf numFmtId="164" fontId="3" fillId="3" borderId="10" xfId="0" applyNumberFormat="1" applyFont="1" applyFill="1" applyBorder="1" applyAlignment="1" applyProtection="1">
      <alignment horizontal="right" vertical="center"/>
      <protection locked="0" hidden="1"/>
    </xf>
    <xf numFmtId="164" fontId="3" fillId="3" borderId="26" xfId="0" applyNumberFormat="1" applyFont="1" applyFill="1" applyBorder="1" applyAlignment="1" applyProtection="1">
      <alignment horizontal="right" vertical="center"/>
      <protection hidden="1"/>
    </xf>
    <xf numFmtId="165" fontId="3" fillId="3" borderId="10" xfId="0" applyNumberFormat="1" applyFont="1" applyFill="1" applyBorder="1" applyAlignment="1" applyProtection="1">
      <alignment horizontal="right" vertical="center"/>
      <protection hidden="1"/>
    </xf>
    <xf numFmtId="177" fontId="3" fillId="3" borderId="10" xfId="0" applyNumberFormat="1" applyFont="1" applyFill="1" applyBorder="1" applyAlignment="1" applyProtection="1">
      <alignment horizontal="right" vertical="center"/>
      <protection hidden="1"/>
    </xf>
    <xf numFmtId="0" fontId="3" fillId="3" borderId="26" xfId="2" applyFont="1" applyFill="1" applyBorder="1" applyAlignment="1" applyProtection="1">
      <alignment horizontal="left" vertical="center"/>
      <protection hidden="1"/>
    </xf>
    <xf numFmtId="0" fontId="3" fillId="3" borderId="25" xfId="2" applyFont="1" applyFill="1" applyBorder="1" applyAlignment="1" applyProtection="1">
      <alignment horizontal="left" vertical="center"/>
      <protection hidden="1"/>
    </xf>
    <xf numFmtId="0" fontId="3" fillId="3" borderId="26" xfId="0" applyFont="1" applyFill="1" applyBorder="1" applyAlignment="1" applyProtection="1">
      <alignment horizontal="center" vertical="center"/>
      <protection hidden="1"/>
    </xf>
    <xf numFmtId="20" fontId="3" fillId="3" borderId="10" xfId="0" applyNumberFormat="1" applyFont="1" applyFill="1" applyBorder="1" applyAlignment="1" applyProtection="1">
      <alignment horizontal="left" vertical="center"/>
      <protection hidden="1"/>
    </xf>
    <xf numFmtId="164" fontId="3" fillId="3" borderId="0" xfId="0" applyNumberFormat="1" applyFont="1" applyFill="1" applyAlignment="1" applyProtection="1">
      <alignment horizontal="right" vertical="center"/>
      <protection locked="0" hidden="1"/>
    </xf>
    <xf numFmtId="165" fontId="3" fillId="3" borderId="26" xfId="0" applyNumberFormat="1" applyFont="1" applyFill="1" applyBorder="1" applyAlignment="1" applyProtection="1">
      <alignment horizontal="right" vertical="center"/>
      <protection locked="0" hidden="1"/>
    </xf>
    <xf numFmtId="1" fontId="3" fillId="3" borderId="10" xfId="0" applyNumberFormat="1" applyFont="1" applyFill="1" applyBorder="1" applyAlignment="1" applyProtection="1">
      <alignment horizontal="right" vertical="center"/>
      <protection locked="0" hidden="1"/>
    </xf>
    <xf numFmtId="164" fontId="9" fillId="3" borderId="10" xfId="0" applyNumberFormat="1" applyFont="1" applyFill="1" applyBorder="1" applyAlignment="1" applyProtection="1">
      <alignment horizontal="right" vertical="center"/>
      <protection locked="0" hidden="1"/>
    </xf>
    <xf numFmtId="20" fontId="3" fillId="3" borderId="10" xfId="0" applyNumberFormat="1" applyFont="1" applyFill="1" applyBorder="1" applyAlignment="1" applyProtection="1">
      <alignment horizontal="right" vertical="center"/>
      <protection locked="0" hidden="1"/>
    </xf>
    <xf numFmtId="20" fontId="3" fillId="3" borderId="10" xfId="0" applyNumberFormat="1" applyFont="1" applyFill="1" applyBorder="1" applyAlignment="1" applyProtection="1">
      <alignment horizontal="right" vertical="center"/>
      <protection hidden="1"/>
    </xf>
    <xf numFmtId="20" fontId="3" fillId="3" borderId="26" xfId="0" applyNumberFormat="1" applyFont="1" applyFill="1" applyBorder="1" applyAlignment="1" applyProtection="1">
      <alignment horizontal="right" vertical="center"/>
      <protection locked="0" hidden="1"/>
    </xf>
    <xf numFmtId="20" fontId="3" fillId="3" borderId="26" xfId="0" applyNumberFormat="1" applyFont="1" applyFill="1" applyBorder="1" applyAlignment="1" applyProtection="1">
      <alignment horizontal="right" vertical="center"/>
      <protection hidden="1"/>
    </xf>
    <xf numFmtId="0" fontId="3" fillId="3" borderId="26" xfId="0" applyFont="1" applyFill="1" applyBorder="1" applyAlignment="1" applyProtection="1">
      <alignment horizontal="right" vertical="center"/>
      <protection hidden="1"/>
    </xf>
    <xf numFmtId="0" fontId="3" fillId="3" borderId="26" xfId="0" applyFont="1" applyFill="1" applyBorder="1" applyAlignment="1" applyProtection="1">
      <alignment horizontal="right" vertical="center"/>
      <protection locked="0" hidden="1"/>
    </xf>
    <xf numFmtId="164" fontId="9" fillId="3" borderId="26" xfId="0" applyNumberFormat="1" applyFont="1" applyFill="1" applyBorder="1" applyAlignment="1" applyProtection="1">
      <alignment horizontal="right" vertical="center"/>
      <protection locked="0" hidden="1"/>
    </xf>
    <xf numFmtId="164" fontId="3" fillId="3" borderId="10" xfId="0" applyNumberFormat="1" applyFont="1" applyFill="1" applyBorder="1" applyAlignment="1" applyProtection="1">
      <alignment horizontal="right" wrapText="1"/>
      <protection locked="0" hidden="1"/>
    </xf>
    <xf numFmtId="0" fontId="18" fillId="3" borderId="12" xfId="0" applyFont="1" applyFill="1" applyBorder="1" applyAlignment="1" applyProtection="1">
      <alignment horizontal="left" wrapText="1"/>
      <protection hidden="1"/>
    </xf>
    <xf numFmtId="0" fontId="18" fillId="3" borderId="13" xfId="0" applyFont="1" applyFill="1" applyBorder="1" applyAlignment="1" applyProtection="1">
      <alignment horizontal="left" wrapText="1"/>
      <protection hidden="1"/>
    </xf>
    <xf numFmtId="0" fontId="18" fillId="3" borderId="14" xfId="0" applyFont="1" applyFill="1" applyBorder="1" applyAlignment="1" applyProtection="1">
      <alignment horizontal="left" wrapText="1"/>
      <protection hidden="1"/>
    </xf>
    <xf numFmtId="0" fontId="18" fillId="3" borderId="17" xfId="0" applyFont="1" applyFill="1" applyBorder="1" applyAlignment="1" applyProtection="1">
      <alignment horizontal="left" wrapText="1"/>
      <protection hidden="1"/>
    </xf>
    <xf numFmtId="0" fontId="18" fillId="3" borderId="0" xfId="0" applyFont="1" applyFill="1" applyBorder="1" applyAlignment="1" applyProtection="1">
      <alignment horizontal="left" wrapText="1"/>
      <protection hidden="1"/>
    </xf>
    <xf numFmtId="0" fontId="18" fillId="3" borderId="1" xfId="0" applyFont="1" applyFill="1" applyBorder="1" applyAlignment="1" applyProtection="1">
      <alignment horizontal="left" wrapText="1"/>
      <protection hidden="1"/>
    </xf>
    <xf numFmtId="0" fontId="18" fillId="3" borderId="15" xfId="0" applyFont="1" applyFill="1" applyBorder="1" applyAlignment="1" applyProtection="1">
      <alignment horizontal="left" wrapText="1"/>
      <protection hidden="1"/>
    </xf>
    <xf numFmtId="0" fontId="18" fillId="3" borderId="10" xfId="0" applyFont="1" applyFill="1" applyBorder="1" applyAlignment="1" applyProtection="1">
      <alignment horizontal="left" wrapText="1"/>
      <protection hidden="1"/>
    </xf>
    <xf numFmtId="0" fontId="18" fillId="3" borderId="16" xfId="0" applyFont="1" applyFill="1" applyBorder="1" applyAlignment="1" applyProtection="1">
      <alignment horizontal="left" wrapText="1"/>
      <protection hidden="1"/>
    </xf>
    <xf numFmtId="179" fontId="9" fillId="3" borderId="10" xfId="0" applyNumberFormat="1" applyFont="1" applyFill="1" applyBorder="1" applyAlignment="1" applyProtection="1">
      <alignment horizontal="left" vertical="center"/>
      <protection hidden="1"/>
    </xf>
    <xf numFmtId="14" fontId="3" fillId="2" borderId="8" xfId="0" applyNumberFormat="1" applyFont="1" applyFill="1" applyBorder="1" applyAlignment="1" applyProtection="1">
      <alignment horizontal="right" vertical="center"/>
      <protection hidden="1"/>
    </xf>
    <xf numFmtId="14" fontId="3" fillId="2" borderId="9" xfId="0" applyNumberFormat="1" applyFont="1" applyFill="1" applyBorder="1" applyAlignment="1" applyProtection="1">
      <alignment horizontal="right" vertical="center"/>
      <protection hidden="1"/>
    </xf>
    <xf numFmtId="0" fontId="3" fillId="2" borderId="3" xfId="0" applyFont="1" applyFill="1" applyBorder="1" applyAlignment="1" applyProtection="1">
      <alignment horizontal="right" vertical="center"/>
      <protection hidden="1"/>
    </xf>
    <xf numFmtId="0" fontId="3" fillId="2" borderId="4" xfId="0" applyFont="1" applyFill="1" applyBorder="1" applyAlignment="1" applyProtection="1">
      <alignment horizontal="right" vertical="center"/>
      <protection hidden="1"/>
    </xf>
    <xf numFmtId="173" fontId="3" fillId="10" borderId="10" xfId="0" applyNumberFormat="1" applyFont="1" applyFill="1" applyBorder="1" applyAlignment="1" applyProtection="1">
      <alignment horizontal="right" vertical="center"/>
      <protection locked="0" hidden="1"/>
    </xf>
    <xf numFmtId="173" fontId="3" fillId="7" borderId="10" xfId="0" applyNumberFormat="1" applyFont="1" applyFill="1" applyBorder="1" applyAlignment="1" applyProtection="1">
      <alignment horizontal="center" vertical="center"/>
      <protection hidden="1"/>
    </xf>
    <xf numFmtId="182" fontId="9" fillId="7" borderId="10" xfId="0" applyNumberFormat="1" applyFont="1" applyFill="1" applyBorder="1" applyAlignment="1" applyProtection="1">
      <alignment horizontal="right" vertical="center"/>
      <protection hidden="1"/>
    </xf>
    <xf numFmtId="2" fontId="9" fillId="7" borderId="10" xfId="0" applyNumberFormat="1" applyFont="1" applyFill="1" applyBorder="1" applyAlignment="1" applyProtection="1">
      <alignment horizontal="right" vertical="center"/>
      <protection hidden="1"/>
    </xf>
    <xf numFmtId="170" fontId="3" fillId="7" borderId="10" xfId="0" applyNumberFormat="1" applyFont="1" applyFill="1" applyBorder="1" applyAlignment="1" applyProtection="1">
      <alignment horizontal="right" vertical="center"/>
      <protection hidden="1"/>
    </xf>
    <xf numFmtId="173" fontId="3" fillId="10" borderId="26" xfId="0" applyNumberFormat="1" applyFont="1" applyFill="1" applyBorder="1" applyAlignment="1" applyProtection="1">
      <alignment horizontal="right" vertical="center"/>
      <protection locked="0" hidden="1"/>
    </xf>
    <xf numFmtId="181" fontId="3" fillId="7" borderId="10" xfId="0" applyNumberFormat="1" applyFont="1" applyFill="1" applyBorder="1" applyAlignment="1" applyProtection="1">
      <alignment horizontal="right" vertical="center"/>
      <protection hidden="1"/>
    </xf>
    <xf numFmtId="181" fontId="3" fillId="10" borderId="26" xfId="0" applyNumberFormat="1" applyFont="1" applyFill="1" applyBorder="1" applyAlignment="1" applyProtection="1">
      <alignment horizontal="right" vertical="center"/>
      <protection locked="0" hidden="1"/>
    </xf>
    <xf numFmtId="173" fontId="3" fillId="7" borderId="10" xfId="0" applyNumberFormat="1" applyFont="1" applyFill="1" applyBorder="1" applyAlignment="1" applyProtection="1">
      <alignment horizontal="right" vertical="center"/>
      <protection hidden="1"/>
    </xf>
    <xf numFmtId="0" fontId="18" fillId="7" borderId="29" xfId="2" applyFont="1" applyFill="1" applyBorder="1" applyAlignment="1" applyProtection="1">
      <alignment horizontal="left" vertical="center"/>
      <protection hidden="1"/>
    </xf>
    <xf numFmtId="0" fontId="18" fillId="7" borderId="26" xfId="2" applyFont="1" applyFill="1" applyBorder="1" applyAlignment="1" applyProtection="1">
      <alignment horizontal="left" vertical="center"/>
      <protection hidden="1"/>
    </xf>
    <xf numFmtId="0" fontId="18" fillId="7" borderId="25" xfId="2" applyFont="1" applyFill="1" applyBorder="1" applyAlignment="1" applyProtection="1">
      <alignment horizontal="left" vertical="center"/>
      <protection hidden="1"/>
    </xf>
    <xf numFmtId="0" fontId="18" fillId="10" borderId="29" xfId="2" applyFont="1" applyFill="1" applyBorder="1" applyAlignment="1" applyProtection="1">
      <alignment horizontal="left" vertical="top" wrapText="1"/>
      <protection locked="0" hidden="1"/>
    </xf>
    <xf numFmtId="0" fontId="18" fillId="10" borderId="26" xfId="2" applyFont="1" applyFill="1" applyBorder="1" applyAlignment="1" applyProtection="1">
      <alignment horizontal="left" vertical="top" wrapText="1"/>
      <protection locked="0" hidden="1"/>
    </xf>
    <xf numFmtId="0" fontId="18" fillId="10" borderId="25" xfId="2" applyFont="1" applyFill="1" applyBorder="1" applyAlignment="1" applyProtection="1">
      <alignment horizontal="left" vertical="top" wrapText="1"/>
      <protection locked="0" hidden="1"/>
    </xf>
    <xf numFmtId="0" fontId="18" fillId="3" borderId="29" xfId="2" applyFont="1" applyFill="1" applyBorder="1" applyAlignment="1" applyProtection="1">
      <alignment horizontal="center" vertical="center" wrapText="1"/>
      <protection locked="0" hidden="1"/>
    </xf>
    <xf numFmtId="0" fontId="18" fillId="3" borderId="26" xfId="2" applyFont="1" applyFill="1" applyBorder="1" applyAlignment="1" applyProtection="1">
      <alignment horizontal="center" vertical="center" wrapText="1"/>
      <protection locked="0" hidden="1"/>
    </xf>
    <xf numFmtId="0" fontId="18" fillId="3" borderId="25" xfId="2" applyFont="1" applyFill="1" applyBorder="1" applyAlignment="1" applyProtection="1">
      <alignment horizontal="center" vertical="center" wrapText="1"/>
      <protection locked="0" hidden="1"/>
    </xf>
    <xf numFmtId="0" fontId="3" fillId="0" borderId="35" xfId="2" applyFont="1" applyBorder="1" applyAlignment="1" applyProtection="1">
      <alignment horizontal="center" vertical="top" textRotation="180"/>
      <protection hidden="1"/>
    </xf>
    <xf numFmtId="0" fontId="3" fillId="0" borderId="21" xfId="2" applyFont="1" applyBorder="1" applyAlignment="1" applyProtection="1">
      <alignment horizontal="center" vertical="top" textRotation="180"/>
      <protection hidden="1"/>
    </xf>
    <xf numFmtId="0" fontId="3" fillId="0" borderId="36" xfId="2" applyFont="1" applyBorder="1" applyAlignment="1" applyProtection="1">
      <alignment horizontal="center" vertical="top" textRotation="180"/>
      <protection hidden="1"/>
    </xf>
    <xf numFmtId="0" fontId="3" fillId="10" borderId="12" xfId="2" applyFont="1" applyFill="1" applyBorder="1" applyAlignment="1" applyProtection="1">
      <alignment horizontal="center" vertical="center"/>
      <protection locked="0" hidden="1"/>
    </xf>
    <xf numFmtId="0" fontId="3" fillId="10" borderId="13" xfId="2" applyFont="1" applyFill="1" applyBorder="1" applyAlignment="1" applyProtection="1">
      <alignment horizontal="center" vertical="center"/>
      <protection locked="0" hidden="1"/>
    </xf>
    <xf numFmtId="0" fontId="3" fillId="10" borderId="14" xfId="2" applyFont="1" applyFill="1" applyBorder="1" applyAlignment="1" applyProtection="1">
      <alignment horizontal="center" vertical="center"/>
      <protection locked="0" hidden="1"/>
    </xf>
    <xf numFmtId="0" fontId="3" fillId="10" borderId="17" xfId="2" applyFont="1" applyFill="1" applyBorder="1" applyAlignment="1" applyProtection="1">
      <alignment horizontal="center" vertical="center"/>
      <protection locked="0" hidden="1"/>
    </xf>
    <xf numFmtId="0" fontId="3" fillId="10" borderId="0" xfId="2" applyFont="1" applyFill="1" applyAlignment="1" applyProtection="1">
      <alignment horizontal="center" vertical="center"/>
      <protection locked="0" hidden="1"/>
    </xf>
    <xf numFmtId="0" fontId="3" fillId="10" borderId="1" xfId="2" applyFont="1" applyFill="1" applyBorder="1" applyAlignment="1" applyProtection="1">
      <alignment horizontal="center" vertical="center"/>
      <protection locked="0" hidden="1"/>
    </xf>
    <xf numFmtId="0" fontId="3" fillId="10" borderId="15" xfId="2" applyFont="1" applyFill="1" applyBorder="1" applyAlignment="1" applyProtection="1">
      <alignment horizontal="center" vertical="center"/>
      <protection locked="0" hidden="1"/>
    </xf>
    <xf numFmtId="0" fontId="3" fillId="10" borderId="10" xfId="2" applyFont="1" applyFill="1" applyBorder="1" applyAlignment="1" applyProtection="1">
      <alignment horizontal="center" vertical="center"/>
      <protection locked="0" hidden="1"/>
    </xf>
    <xf numFmtId="0" fontId="3" fillId="10" borderId="16" xfId="2" applyFont="1" applyFill="1" applyBorder="1" applyAlignment="1" applyProtection="1">
      <alignment horizontal="center" vertical="center"/>
      <protection locked="0" hidden="1"/>
    </xf>
    <xf numFmtId="173" fontId="3" fillId="3" borderId="10" xfId="2" applyNumberFormat="1" applyFont="1" applyFill="1" applyBorder="1" applyAlignment="1" applyProtection="1">
      <alignment horizontal="left" vertical="center"/>
      <protection hidden="1"/>
    </xf>
    <xf numFmtId="0" fontId="3" fillId="7" borderId="10" xfId="2" applyFont="1" applyFill="1" applyBorder="1" applyAlignment="1" applyProtection="1">
      <alignment horizontal="left" vertical="center"/>
      <protection hidden="1"/>
    </xf>
    <xf numFmtId="173" fontId="3" fillId="7" borderId="10" xfId="2" applyNumberFormat="1" applyFont="1" applyFill="1" applyBorder="1" applyAlignment="1" applyProtection="1">
      <alignment horizontal="center" vertical="center"/>
      <protection hidden="1"/>
    </xf>
    <xf numFmtId="164" fontId="3" fillId="7" borderId="10" xfId="2" applyNumberFormat="1" applyFont="1" applyFill="1" applyBorder="1" applyAlignment="1" applyProtection="1">
      <alignment horizontal="right" vertical="center" wrapText="1"/>
      <protection hidden="1"/>
    </xf>
    <xf numFmtId="173" fontId="3" fillId="10" borderId="10" xfId="2" applyNumberFormat="1" applyFont="1" applyFill="1" applyBorder="1" applyAlignment="1" applyProtection="1">
      <alignment horizontal="left" vertical="center" wrapText="1"/>
      <protection locked="0" hidden="1"/>
    </xf>
    <xf numFmtId="0" fontId="3" fillId="10" borderId="10" xfId="2" applyFont="1" applyFill="1" applyBorder="1" applyAlignment="1" applyProtection="1">
      <alignment horizontal="left" vertical="center" wrapText="1"/>
      <protection locked="0" hidden="1"/>
    </xf>
    <xf numFmtId="0" fontId="3" fillId="3" borderId="12" xfId="2" applyFont="1" applyFill="1" applyBorder="1" applyAlignment="1" applyProtection="1">
      <alignment horizontal="left" vertical="top" wrapText="1"/>
      <protection hidden="1"/>
    </xf>
    <xf numFmtId="0" fontId="3" fillId="3" borderId="13" xfId="2" applyFont="1" applyFill="1" applyBorder="1" applyAlignment="1" applyProtection="1">
      <alignment horizontal="left" vertical="top" wrapText="1"/>
      <protection hidden="1"/>
    </xf>
    <xf numFmtId="0" fontId="3" fillId="3" borderId="14" xfId="2" applyFont="1" applyFill="1" applyBorder="1" applyAlignment="1" applyProtection="1">
      <alignment horizontal="left" vertical="top" wrapText="1"/>
      <protection hidden="1"/>
    </xf>
    <xf numFmtId="0" fontId="3" fillId="3" borderId="17" xfId="2" applyFont="1" applyFill="1" applyBorder="1" applyAlignment="1" applyProtection="1">
      <alignment horizontal="left" vertical="top" wrapText="1"/>
      <protection hidden="1"/>
    </xf>
    <xf numFmtId="0" fontId="3" fillId="3" borderId="0" xfId="2" applyFont="1" applyFill="1" applyAlignment="1" applyProtection="1">
      <alignment horizontal="left" vertical="top" wrapText="1"/>
      <protection hidden="1"/>
    </xf>
    <xf numFmtId="0" fontId="3" fillId="3" borderId="1" xfId="2" applyFont="1" applyFill="1" applyBorder="1" applyAlignment="1" applyProtection="1">
      <alignment horizontal="left" vertical="top" wrapText="1"/>
      <protection hidden="1"/>
    </xf>
    <xf numFmtId="0" fontId="3" fillId="3" borderId="15" xfId="2" applyFont="1" applyFill="1" applyBorder="1" applyAlignment="1" applyProtection="1">
      <alignment horizontal="left" vertical="top" wrapText="1"/>
      <protection hidden="1"/>
    </xf>
    <xf numFmtId="0" fontId="3" fillId="3" borderId="10" xfId="2" applyFont="1" applyFill="1" applyBorder="1" applyAlignment="1" applyProtection="1">
      <alignment horizontal="left" vertical="top" wrapText="1"/>
      <protection hidden="1"/>
    </xf>
    <xf numFmtId="0" fontId="3" fillId="3" borderId="16" xfId="2" applyFont="1" applyFill="1" applyBorder="1" applyAlignment="1" applyProtection="1">
      <alignment horizontal="left" vertical="top" wrapText="1"/>
      <protection hidden="1"/>
    </xf>
    <xf numFmtId="0" fontId="3" fillId="7" borderId="10" xfId="2" applyFont="1" applyFill="1" applyBorder="1" applyAlignment="1" applyProtection="1">
      <alignment horizontal="right" vertical="center"/>
      <protection hidden="1"/>
    </xf>
    <xf numFmtId="0" fontId="6" fillId="3" borderId="12" xfId="2" applyFont="1" applyFill="1" applyBorder="1" applyAlignment="1" applyProtection="1">
      <alignment horizontal="center" vertical="center"/>
      <protection hidden="1"/>
    </xf>
    <xf numFmtId="0" fontId="6" fillId="3" borderId="13" xfId="2" applyFont="1" applyFill="1" applyBorder="1" applyAlignment="1" applyProtection="1">
      <alignment horizontal="center" vertical="center"/>
      <protection hidden="1"/>
    </xf>
    <xf numFmtId="0" fontId="6" fillId="3" borderId="14" xfId="2" applyFont="1" applyFill="1" applyBorder="1" applyAlignment="1" applyProtection="1">
      <alignment horizontal="center" vertical="center"/>
      <protection hidden="1"/>
    </xf>
    <xf numFmtId="0" fontId="75" fillId="7" borderId="12" xfId="1" applyFont="1" applyFill="1" applyBorder="1" applyAlignment="1" applyProtection="1">
      <alignment horizontal="center" vertical="center"/>
      <protection hidden="1"/>
    </xf>
    <xf numFmtId="0" fontId="75" fillId="7" borderId="15" xfId="1" applyFont="1" applyFill="1" applyBorder="1" applyAlignment="1" applyProtection="1">
      <alignment horizontal="center" vertical="center"/>
      <protection hidden="1"/>
    </xf>
    <xf numFmtId="0" fontId="75" fillId="7" borderId="14" xfId="1" applyFont="1" applyFill="1" applyBorder="1" applyAlignment="1" applyProtection="1">
      <alignment horizontal="center" vertical="center"/>
      <protection hidden="1"/>
    </xf>
    <xf numFmtId="0" fontId="75" fillId="7" borderId="16" xfId="1" applyFont="1" applyFill="1" applyBorder="1" applyAlignment="1" applyProtection="1">
      <alignment horizontal="center" vertical="center"/>
      <protection hidden="1"/>
    </xf>
    <xf numFmtId="0" fontId="54" fillId="3" borderId="21" xfId="4" applyFont="1" applyFill="1" applyBorder="1" applyAlignment="1">
      <alignment horizontal="center" vertical="top" wrapText="1"/>
    </xf>
    <xf numFmtId="0" fontId="54" fillId="3" borderId="36" xfId="4" applyFont="1" applyFill="1" applyBorder="1" applyAlignment="1">
      <alignment horizontal="center" vertical="top" wrapText="1"/>
    </xf>
    <xf numFmtId="0" fontId="54" fillId="3" borderId="17" xfId="4" applyFont="1" applyFill="1" applyBorder="1" applyAlignment="1">
      <alignment horizontal="center" vertical="top" wrapText="1"/>
    </xf>
    <xf numFmtId="0" fontId="54" fillId="3" borderId="0" xfId="4" applyFont="1" applyFill="1" applyAlignment="1">
      <alignment horizontal="center" vertical="top" wrapText="1"/>
    </xf>
    <xf numFmtId="0" fontId="54" fillId="3" borderId="1" xfId="4" applyFont="1" applyFill="1" applyBorder="1" applyAlignment="1">
      <alignment horizontal="center" vertical="top" wrapText="1"/>
    </xf>
    <xf numFmtId="0" fontId="54" fillId="3" borderId="15" xfId="4" applyFont="1" applyFill="1" applyBorder="1" applyAlignment="1">
      <alignment horizontal="center" vertical="top" wrapText="1"/>
    </xf>
    <xf numFmtId="0" fontId="54" fillId="3" borderId="10" xfId="4" applyFont="1" applyFill="1" applyBorder="1" applyAlignment="1">
      <alignment horizontal="center" vertical="top" wrapText="1"/>
    </xf>
    <xf numFmtId="0" fontId="54" fillId="3" borderId="16" xfId="4" applyFont="1" applyFill="1" applyBorder="1" applyAlignment="1">
      <alignment horizontal="center" vertical="top" wrapText="1"/>
    </xf>
    <xf numFmtId="0" fontId="68" fillId="3" borderId="0" xfId="4" applyFont="1" applyFill="1" applyAlignment="1">
      <alignment horizontal="center" vertical="center"/>
    </xf>
    <xf numFmtId="190" fontId="69" fillId="3" borderId="0" xfId="4" applyNumberFormat="1" applyFont="1" applyFill="1" applyAlignment="1">
      <alignment horizontal="right" vertical="center" textRotation="90"/>
    </xf>
    <xf numFmtId="167" fontId="70" fillId="3" borderId="0" xfId="4" applyNumberFormat="1" applyFont="1" applyFill="1" applyAlignment="1">
      <alignment horizontal="center" vertical="center"/>
    </xf>
    <xf numFmtId="167" fontId="70" fillId="3" borderId="1" xfId="4" applyNumberFormat="1" applyFont="1" applyFill="1" applyBorder="1" applyAlignment="1">
      <alignment horizontal="center" vertical="center"/>
    </xf>
    <xf numFmtId="190" fontId="59" fillId="3" borderId="17" xfId="4" applyNumberFormat="1" applyFont="1" applyFill="1" applyBorder="1" applyAlignment="1">
      <alignment horizontal="center" vertical="center"/>
    </xf>
    <xf numFmtId="190" fontId="59" fillId="3" borderId="0" xfId="4" applyNumberFormat="1" applyFont="1" applyFill="1" applyAlignment="1">
      <alignment horizontal="center" vertical="center"/>
    </xf>
    <xf numFmtId="190" fontId="59" fillId="3" borderId="1" xfId="4" applyNumberFormat="1" applyFont="1" applyFill="1" applyBorder="1" applyAlignment="1">
      <alignment horizontal="center" vertical="center"/>
    </xf>
    <xf numFmtId="175" fontId="59" fillId="3" borderId="0" xfId="4" applyNumberFormat="1" applyFont="1" applyFill="1" applyAlignment="1">
      <alignment horizontal="center" vertical="center" wrapText="1"/>
    </xf>
    <xf numFmtId="173" fontId="58" fillId="3" borderId="0" xfId="4" applyNumberFormat="1" applyFont="1" applyFill="1" applyAlignment="1">
      <alignment horizontal="left" vertical="center"/>
    </xf>
    <xf numFmtId="0" fontId="17" fillId="3" borderId="0" xfId="4" applyFont="1" applyFill="1" applyAlignment="1">
      <alignment horizontal="center" vertical="center" textRotation="180"/>
    </xf>
    <xf numFmtId="191" fontId="59" fillId="3" borderId="17" xfId="4" applyNumberFormat="1" applyFont="1" applyFill="1" applyBorder="1" applyAlignment="1">
      <alignment horizontal="center" vertical="center" wrapText="1"/>
    </xf>
    <xf numFmtId="191" fontId="59" fillId="3" borderId="0" xfId="4" applyNumberFormat="1" applyFont="1" applyFill="1" applyAlignment="1">
      <alignment horizontal="center" vertical="center" wrapText="1"/>
    </xf>
    <xf numFmtId="191" fontId="59" fillId="3" borderId="1" xfId="4" applyNumberFormat="1" applyFont="1" applyFill="1" applyBorder="1" applyAlignment="1">
      <alignment horizontal="center" vertical="center" wrapText="1"/>
    </xf>
    <xf numFmtId="191" fontId="59" fillId="3" borderId="17" xfId="4" applyNumberFormat="1" applyFont="1" applyFill="1" applyBorder="1" applyAlignment="1">
      <alignment horizontal="left" vertical="top" wrapText="1"/>
    </xf>
    <xf numFmtId="191" fontId="59" fillId="3" borderId="0" xfId="4" applyNumberFormat="1" applyFont="1" applyFill="1" applyAlignment="1">
      <alignment horizontal="left" vertical="top" wrapText="1"/>
    </xf>
    <xf numFmtId="0" fontId="46" fillId="7" borderId="14" xfId="2" applyFont="1" applyFill="1" applyBorder="1" applyAlignment="1" applyProtection="1">
      <alignment horizontal="center" vertical="center"/>
      <protection hidden="1"/>
    </xf>
    <xf numFmtId="0" fontId="46" fillId="7" borderId="16" xfId="2" applyFont="1" applyFill="1" applyBorder="1" applyAlignment="1" applyProtection="1">
      <alignment horizontal="center" vertical="center"/>
      <protection hidden="1"/>
    </xf>
    <xf numFmtId="0" fontId="82" fillId="3" borderId="17" xfId="5" applyFont="1" applyFill="1" applyBorder="1" applyAlignment="1">
      <alignment horizontal="center" vertical="center"/>
    </xf>
    <xf numFmtId="0" fontId="82" fillId="3" borderId="0" xfId="5" applyFont="1" applyFill="1" applyAlignment="1">
      <alignment horizontal="center" vertical="center"/>
    </xf>
    <xf numFmtId="0" fontId="82" fillId="3" borderId="1" xfId="5" applyFont="1" applyFill="1" applyBorder="1" applyAlignment="1">
      <alignment horizontal="center" vertical="center"/>
    </xf>
    <xf numFmtId="0" fontId="83" fillId="3" borderId="17" xfId="5" applyFont="1" applyFill="1" applyBorder="1" applyAlignment="1">
      <alignment horizontal="left" wrapText="1"/>
    </xf>
    <xf numFmtId="0" fontId="83" fillId="3" borderId="0" xfId="5" applyFont="1" applyFill="1" applyAlignment="1">
      <alignment horizontal="left" wrapText="1"/>
    </xf>
    <xf numFmtId="0" fontId="83" fillId="3" borderId="15" xfId="5" applyFont="1" applyFill="1" applyBorder="1" applyAlignment="1">
      <alignment horizontal="left" wrapText="1"/>
    </xf>
    <xf numFmtId="0" fontId="83" fillId="3" borderId="10" xfId="5" applyFont="1" applyFill="1" applyBorder="1" applyAlignment="1">
      <alignment horizontal="left" wrapText="1"/>
    </xf>
    <xf numFmtId="175" fontId="79" fillId="3" borderId="0" xfId="5" applyNumberFormat="1" applyFont="1" applyFill="1" applyAlignment="1">
      <alignment horizontal="left" vertical="center"/>
    </xf>
    <xf numFmtId="175" fontId="79" fillId="3" borderId="1" xfId="5" applyNumberFormat="1" applyFont="1" applyFill="1" applyBorder="1" applyAlignment="1">
      <alignment horizontal="left" vertical="center"/>
    </xf>
    <xf numFmtId="0" fontId="73" fillId="3" borderId="17" xfId="5" applyFont="1" applyFill="1" applyBorder="1" applyAlignment="1">
      <alignment horizontal="center" vertical="center"/>
    </xf>
    <xf numFmtId="0" fontId="73" fillId="3" borderId="0" xfId="5" applyFont="1" applyFill="1" applyAlignment="1">
      <alignment horizontal="center" vertical="center"/>
    </xf>
    <xf numFmtId="0" fontId="73" fillId="3" borderId="1" xfId="5" applyFont="1" applyFill="1" applyBorder="1" applyAlignment="1">
      <alignment horizontal="center" vertical="center"/>
    </xf>
    <xf numFmtId="14" fontId="76" fillId="3" borderId="0" xfId="5" applyNumberFormat="1" applyFont="1" applyFill="1" applyAlignment="1">
      <alignment horizontal="left" vertical="center"/>
    </xf>
    <xf numFmtId="14" fontId="76" fillId="3" borderId="1" xfId="5" applyNumberFormat="1" applyFont="1" applyFill="1" applyBorder="1" applyAlignment="1">
      <alignment horizontal="left" vertical="center"/>
    </xf>
    <xf numFmtId="191" fontId="76" fillId="3" borderId="17" xfId="5" applyNumberFormat="1" applyFont="1" applyFill="1" applyBorder="1" applyAlignment="1">
      <alignment horizontal="left" vertical="center"/>
    </xf>
    <xf numFmtId="191" fontId="76" fillId="3" borderId="0" xfId="5" applyNumberFormat="1" applyFont="1" applyFill="1" applyAlignment="1">
      <alignment horizontal="left" vertical="center"/>
    </xf>
    <xf numFmtId="192" fontId="76" fillId="3" borderId="17" xfId="5" applyNumberFormat="1" applyFont="1" applyFill="1" applyBorder="1" applyAlignment="1">
      <alignment horizontal="left" vertical="center"/>
    </xf>
    <xf numFmtId="192" fontId="76" fillId="3" borderId="0" xfId="5" applyNumberFormat="1" applyFont="1" applyFill="1" applyAlignment="1">
      <alignment horizontal="left" vertical="center"/>
    </xf>
    <xf numFmtId="14" fontId="76" fillId="3" borderId="0" xfId="5" applyNumberFormat="1" applyFont="1" applyFill="1" applyAlignment="1">
      <alignment horizontal="left" vertical="center" wrapText="1"/>
    </xf>
    <xf numFmtId="14" fontId="76" fillId="3" borderId="1" xfId="5" applyNumberFormat="1" applyFont="1" applyFill="1" applyBorder="1" applyAlignment="1">
      <alignment horizontal="left" vertical="center" wrapText="1"/>
    </xf>
    <xf numFmtId="167" fontId="88" fillId="3" borderId="12" xfId="5" applyNumberFormat="1" applyFont="1" applyFill="1" applyBorder="1" applyAlignment="1">
      <alignment horizontal="left" vertical="center"/>
    </xf>
    <xf numFmtId="167" fontId="88" fillId="3" borderId="13" xfId="5" applyNumberFormat="1" applyFont="1" applyFill="1" applyBorder="1" applyAlignment="1">
      <alignment horizontal="left" vertical="center"/>
    </xf>
    <xf numFmtId="190" fontId="76" fillId="3" borderId="17" xfId="5" applyNumberFormat="1" applyFont="1" applyFill="1" applyBorder="1" applyAlignment="1">
      <alignment horizontal="left" vertical="center"/>
    </xf>
    <xf numFmtId="190" fontId="76" fillId="3" borderId="0" xfId="5" applyNumberFormat="1" applyFont="1" applyFill="1" applyAlignment="1">
      <alignment horizontal="left" vertical="center"/>
    </xf>
    <xf numFmtId="175" fontId="83" fillId="3" borderId="0" xfId="5" applyNumberFormat="1" applyFont="1" applyFill="1" applyAlignment="1">
      <alignment horizontal="left" vertical="center"/>
    </xf>
    <xf numFmtId="175" fontId="83" fillId="3" borderId="1" xfId="5" applyNumberFormat="1" applyFont="1" applyFill="1" applyBorder="1" applyAlignment="1">
      <alignment horizontal="left" vertical="center"/>
    </xf>
    <xf numFmtId="0" fontId="92" fillId="3" borderId="17" xfId="5" applyFont="1" applyFill="1" applyBorder="1" applyAlignment="1">
      <alignment horizontal="center" vertical="center"/>
    </xf>
    <xf numFmtId="0" fontId="92" fillId="3" borderId="0" xfId="5" applyFont="1" applyFill="1" applyAlignment="1">
      <alignment horizontal="center" vertical="center"/>
    </xf>
    <xf numFmtId="0" fontId="92" fillId="3" borderId="1" xfId="5" applyFont="1" applyFill="1" applyBorder="1" applyAlignment="1">
      <alignment horizontal="center" vertical="center"/>
    </xf>
    <xf numFmtId="14" fontId="88" fillId="3" borderId="0" xfId="5" applyNumberFormat="1" applyFont="1" applyFill="1" applyAlignment="1">
      <alignment horizontal="left" vertical="center" wrapText="1"/>
    </xf>
    <xf numFmtId="14" fontId="88" fillId="3" borderId="1" xfId="5" applyNumberFormat="1" applyFont="1" applyFill="1" applyBorder="1" applyAlignment="1">
      <alignment horizontal="left" vertical="center" wrapText="1"/>
    </xf>
    <xf numFmtId="190" fontId="88" fillId="3" borderId="17" xfId="5" applyNumberFormat="1" applyFont="1" applyFill="1" applyBorder="1" applyAlignment="1">
      <alignment horizontal="left" vertical="center"/>
    </xf>
    <xf numFmtId="190" fontId="88" fillId="3" borderId="0" xfId="5" applyNumberFormat="1" applyFont="1" applyFill="1" applyAlignment="1">
      <alignment horizontal="left" vertical="center"/>
    </xf>
    <xf numFmtId="14" fontId="88" fillId="3" borderId="0" xfId="5" applyNumberFormat="1" applyFont="1" applyFill="1" applyAlignment="1">
      <alignment horizontal="left" vertical="center"/>
    </xf>
    <xf numFmtId="14" fontId="88" fillId="3" borderId="1" xfId="5" applyNumberFormat="1" applyFont="1" applyFill="1" applyBorder="1" applyAlignment="1">
      <alignment horizontal="left" vertical="center"/>
    </xf>
    <xf numFmtId="191" fontId="88" fillId="3" borderId="17" xfId="5" applyNumberFormat="1" applyFont="1" applyFill="1" applyBorder="1" applyAlignment="1">
      <alignment horizontal="left" vertical="center"/>
    </xf>
    <xf numFmtId="191" fontId="88" fillId="3" borderId="0" xfId="5" applyNumberFormat="1" applyFont="1" applyFill="1" applyAlignment="1">
      <alignment horizontal="left" vertical="center"/>
    </xf>
    <xf numFmtId="192" fontId="88" fillId="3" borderId="17" xfId="5" applyNumberFormat="1" applyFont="1" applyFill="1" applyBorder="1" applyAlignment="1">
      <alignment horizontal="left" vertical="center"/>
    </xf>
    <xf numFmtId="192" fontId="88" fillId="3" borderId="0" xfId="5" applyNumberFormat="1" applyFont="1" applyFill="1" applyAlignment="1">
      <alignment horizontal="left" vertical="center"/>
    </xf>
    <xf numFmtId="195" fontId="3" fillId="10" borderId="10" xfId="2" applyNumberFormat="1" applyFont="1" applyFill="1" applyBorder="1" applyAlignment="1" applyProtection="1">
      <alignment horizontal="right" vertical="center"/>
      <protection locked="0" hidden="1"/>
    </xf>
    <xf numFmtId="164" fontId="6" fillId="10" borderId="10" xfId="2" applyNumberFormat="1" applyFont="1" applyFill="1" applyBorder="1" applyAlignment="1" applyProtection="1">
      <alignment horizontal="right" vertical="center"/>
      <protection locked="0" hidden="1"/>
    </xf>
    <xf numFmtId="0" fontId="3" fillId="12" borderId="10" xfId="2" applyFont="1" applyFill="1" applyBorder="1" applyAlignment="1" applyProtection="1">
      <alignment horizontal="left" vertical="center"/>
      <protection locked="0" hidden="1"/>
    </xf>
    <xf numFmtId="0" fontId="62" fillId="0" borderId="1" xfId="2" applyFont="1" applyBorder="1" applyAlignment="1" applyProtection="1">
      <alignment vertical="center"/>
      <protection hidden="1"/>
    </xf>
    <xf numFmtId="0" fontId="3" fillId="10" borderId="0" xfId="0" applyFont="1" applyFill="1" applyProtection="1">
      <protection locked="0"/>
    </xf>
    <xf numFmtId="0" fontId="9" fillId="3" borderId="26" xfId="2" applyFont="1" applyFill="1" applyBorder="1" applyAlignment="1" applyProtection="1">
      <alignment horizontal="left" vertical="center" wrapText="1"/>
      <protection locked="0" hidden="1"/>
    </xf>
    <xf numFmtId="170" fontId="45" fillId="10" borderId="10" xfId="2" applyNumberFormat="1" applyFont="1" applyFill="1" applyBorder="1" applyAlignment="1" applyProtection="1">
      <alignment horizontal="center" vertical="center"/>
      <protection locked="0" hidden="1"/>
    </xf>
    <xf numFmtId="168" fontId="3" fillId="7" borderId="10" xfId="2" applyNumberFormat="1" applyFont="1" applyFill="1" applyBorder="1" applyAlignment="1" applyProtection="1">
      <alignment horizontal="right" vertical="center"/>
      <protection hidden="1"/>
    </xf>
    <xf numFmtId="2" fontId="3" fillId="10" borderId="10" xfId="3" applyNumberFormat="1" applyFont="1" applyFill="1" applyBorder="1" applyAlignment="1" applyProtection="1">
      <alignment horizontal="right" vertical="center"/>
      <protection hidden="1"/>
    </xf>
    <xf numFmtId="0" fontId="3" fillId="2" borderId="10" xfId="2" applyFont="1" applyFill="1" applyBorder="1" applyAlignment="1" applyProtection="1">
      <alignment horizontal="left" vertical="center"/>
      <protection locked="0" hidden="1"/>
    </xf>
    <xf numFmtId="0" fontId="3" fillId="2" borderId="26" xfId="2" applyFont="1" applyFill="1" applyBorder="1" applyAlignment="1" applyProtection="1">
      <alignment horizontal="left" vertical="center"/>
      <protection locked="0" hidden="1"/>
    </xf>
    <xf numFmtId="174" fontId="9" fillId="3" borderId="0" xfId="0" applyNumberFormat="1" applyFont="1" applyFill="1" applyAlignment="1" applyProtection="1">
      <alignment vertical="center"/>
      <protection hidden="1"/>
    </xf>
    <xf numFmtId="2" fontId="9" fillId="7" borderId="10" xfId="0" applyNumberFormat="1" applyFont="1" applyFill="1" applyBorder="1" applyAlignment="1" applyProtection="1">
      <alignment vertical="center"/>
    </xf>
    <xf numFmtId="2" fontId="9" fillId="7" borderId="26" xfId="0" applyNumberFormat="1" applyFont="1" applyFill="1" applyBorder="1" applyAlignment="1" applyProtection="1">
      <alignment vertical="center"/>
    </xf>
    <xf numFmtId="0" fontId="10" fillId="0" borderId="0" xfId="0" applyFont="1" applyProtection="1"/>
    <xf numFmtId="0" fontId="10" fillId="0" borderId="0" xfId="0" applyFont="1" applyAlignment="1" applyProtection="1">
      <alignment wrapText="1"/>
    </xf>
    <xf numFmtId="0" fontId="11" fillId="2" borderId="36" xfId="0" applyFont="1" applyFill="1" applyBorder="1" applyAlignment="1" applyProtection="1">
      <alignment horizontal="center" vertical="center"/>
      <protection locked="0" hidden="1"/>
    </xf>
    <xf numFmtId="0" fontId="11" fillId="3" borderId="11" xfId="0" applyFont="1" applyFill="1" applyBorder="1" applyAlignment="1" applyProtection="1">
      <alignment horizontal="center" vertical="center"/>
      <protection locked="0" hidden="1"/>
    </xf>
    <xf numFmtId="0" fontId="11" fillId="2" borderId="11" xfId="0" applyFont="1" applyFill="1" applyBorder="1" applyAlignment="1" applyProtection="1">
      <alignment horizontal="center" vertical="center"/>
      <protection locked="0" hidden="1"/>
    </xf>
    <xf numFmtId="0" fontId="9" fillId="2" borderId="0" xfId="0" applyFont="1" applyFill="1" applyAlignment="1" applyProtection="1">
      <alignment horizontal="right" vertical="center"/>
      <protection locked="0" hidden="1"/>
    </xf>
    <xf numFmtId="187" fontId="3" fillId="10" borderId="26" xfId="0" applyNumberFormat="1" applyFont="1" applyFill="1" applyBorder="1" applyAlignment="1" applyProtection="1">
      <alignment horizontal="right" vertical="center"/>
      <protection hidden="1"/>
    </xf>
    <xf numFmtId="0" fontId="15" fillId="0" borderId="26" xfId="2" applyFont="1" applyBorder="1" applyAlignment="1" applyProtection="1">
      <alignment horizontal="left" vertical="top" wrapText="1"/>
      <protection hidden="1"/>
    </xf>
  </cellXfs>
  <cellStyles count="6">
    <cellStyle name="Link" xfId="1" builtinId="8"/>
    <cellStyle name="Prozent" xfId="3" builtinId="5"/>
    <cellStyle name="Standard" xfId="0" builtinId="0"/>
    <cellStyle name="Standard 2" xfId="2" xr:uid="{00000000-0005-0000-0000-000003000000}"/>
    <cellStyle name="Standard 3" xfId="4" xr:uid="{00000000-0005-0000-0000-000004000000}"/>
    <cellStyle name="Standard 3 2" xfId="5" xr:uid="{00000000-0005-0000-0000-000005000000}"/>
  </cellStyles>
  <dxfs count="383">
    <dxf>
      <fill>
        <patternFill>
          <bgColor rgb="FFCCFFCC"/>
        </patternFill>
      </fill>
    </dxf>
    <dxf>
      <fill>
        <patternFill>
          <bgColor rgb="FFFFC000"/>
        </patternFill>
      </fill>
    </dxf>
    <dxf>
      <fill>
        <patternFill>
          <bgColor theme="0"/>
        </patternFill>
      </fill>
    </dxf>
    <dxf>
      <fill>
        <patternFill>
          <bgColor theme="0"/>
        </patternFill>
      </fill>
    </dxf>
    <dxf>
      <fill>
        <patternFill>
          <bgColor theme="0" tint="-0.14996795556505021"/>
        </patternFill>
      </fill>
    </dxf>
    <dxf>
      <fill>
        <patternFill>
          <bgColor theme="0"/>
        </patternFill>
      </fill>
    </dxf>
    <dxf>
      <font>
        <color theme="0"/>
      </font>
      <fill>
        <patternFill>
          <bgColor theme="0"/>
        </patternFill>
      </fill>
      <border>
        <left style="thin">
          <color theme="0"/>
        </left>
        <right style="thin">
          <color theme="0"/>
        </right>
        <bottom style="thin">
          <color theme="0"/>
        </bottom>
      </border>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tint="-0.14996795556505021"/>
      </font>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patternType="solid">
          <bgColor theme="0" tint="-0.14996795556505021"/>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ont>
        <color theme="0"/>
      </font>
      <fill>
        <patternFill>
          <bgColor theme="0"/>
        </patternFill>
      </fill>
      <border>
        <left/>
        <right/>
        <top/>
        <bottom/>
      </border>
    </dxf>
    <dxf>
      <font>
        <color theme="0"/>
      </font>
      <fill>
        <patternFill>
          <bgColor theme="0"/>
        </patternFill>
      </fill>
      <border>
        <left/>
        <right/>
        <top/>
        <bottom/>
      </border>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color theme="0"/>
      </font>
      <fill>
        <patternFill>
          <bgColor theme="0"/>
        </patternFill>
      </fill>
      <border>
        <left/>
        <right/>
        <top/>
        <bottom/>
      </border>
    </dxf>
    <dxf>
      <font>
        <color theme="0"/>
      </font>
    </dxf>
    <dxf>
      <font>
        <color theme="0"/>
      </font>
    </dxf>
    <dxf>
      <font>
        <color theme="0" tint="-0.34998626667073579"/>
      </font>
      <fill>
        <patternFill>
          <bgColor theme="0" tint="-0.34998626667073579"/>
        </patternFill>
      </fill>
      <border>
        <left/>
        <right/>
        <top/>
        <bottom/>
      </border>
    </dxf>
    <dxf>
      <font>
        <color theme="0"/>
      </font>
    </dxf>
    <dxf>
      <font>
        <color theme="0"/>
      </font>
    </dxf>
    <dxf>
      <font>
        <color theme="0"/>
      </font>
      <fill>
        <patternFill>
          <bgColor theme="0"/>
        </patternFill>
      </fill>
      <border>
        <left/>
        <right/>
        <top/>
        <bottom/>
        <vertical/>
        <horizontal/>
      </border>
    </dxf>
    <dxf>
      <font>
        <color theme="0"/>
      </font>
    </dxf>
    <dxf>
      <font>
        <color theme="0"/>
      </font>
    </dxf>
    <dxf>
      <font>
        <color theme="0"/>
      </font>
    </dxf>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ill>
        <patternFill>
          <bgColor theme="0" tint="-0.14996795556505021"/>
        </patternFill>
      </fill>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ill>
        <patternFill>
          <bgColor theme="0"/>
        </patternFill>
      </fill>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patternType="solid">
          <bgColor theme="0" tint="-0.14996795556505021"/>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ont>
        <color theme="0"/>
      </font>
      <fill>
        <patternFill>
          <bgColor theme="0"/>
        </patternFill>
      </fill>
      <border>
        <left/>
        <right/>
        <top/>
        <bottom/>
      </border>
    </dxf>
    <dxf>
      <font>
        <color theme="0"/>
      </font>
      <fill>
        <patternFill>
          <bgColor theme="0"/>
        </patternFill>
      </fill>
      <border>
        <left/>
        <right/>
        <top/>
        <bottom/>
      </border>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color theme="0"/>
      </font>
      <fill>
        <patternFill>
          <bgColor theme="0"/>
        </patternFill>
      </fill>
      <border>
        <left/>
        <right/>
        <top/>
        <bottom/>
      </border>
    </dxf>
    <dxf>
      <font>
        <color theme="0"/>
      </font>
    </dxf>
    <dxf>
      <font>
        <color theme="0"/>
      </font>
    </dxf>
    <dxf>
      <font>
        <color theme="0" tint="-0.34998626667073579"/>
      </font>
      <fill>
        <patternFill>
          <bgColor theme="0" tint="-0.34998626667073579"/>
        </patternFill>
      </fill>
      <border>
        <left/>
        <right/>
        <top/>
        <bottom/>
      </border>
    </dxf>
    <dxf>
      <font>
        <color theme="0"/>
      </font>
    </dxf>
    <dxf>
      <font>
        <color theme="0"/>
      </font>
    </dxf>
    <dxf>
      <font>
        <color theme="0"/>
      </font>
      <fill>
        <patternFill>
          <bgColor theme="0"/>
        </patternFill>
      </fill>
      <border>
        <left/>
        <right/>
        <top/>
        <bottom/>
        <vertical/>
        <horizontal/>
      </border>
    </dxf>
    <dxf>
      <font>
        <color theme="0"/>
      </font>
    </dxf>
    <dxf>
      <font>
        <color theme="0"/>
      </font>
    </dxf>
    <dxf>
      <font>
        <color theme="0"/>
      </font>
    </dxf>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ill>
        <patternFill>
          <bgColor theme="0"/>
        </patternFill>
      </fill>
    </dxf>
    <dxf>
      <fill>
        <patternFill>
          <bgColor theme="0"/>
        </patternFill>
      </fill>
    </dxf>
    <dxf>
      <fill>
        <patternFill>
          <bgColor rgb="FFFFFFCC"/>
        </patternFill>
      </fill>
    </dxf>
    <dxf>
      <fill>
        <patternFill>
          <bgColor theme="0"/>
        </patternFill>
      </fill>
    </dxf>
    <dxf>
      <fill>
        <patternFill>
          <bgColor rgb="FFFFFFCC"/>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ont>
        <b val="0"/>
        <i val="0"/>
        <color theme="1"/>
      </font>
    </dxf>
    <dxf>
      <font>
        <b val="0"/>
        <i val="0"/>
        <color theme="1"/>
      </font>
    </dxf>
    <dxf>
      <font>
        <b val="0"/>
        <i val="0"/>
        <color theme="1"/>
      </font>
    </dxf>
    <dxf>
      <font>
        <b val="0"/>
        <i val="0"/>
        <color theme="1"/>
      </font>
    </dxf>
    <dxf>
      <font>
        <b val="0"/>
        <i val="0"/>
        <color theme="1"/>
      </font>
    </dxf>
    <dxf>
      <font>
        <b val="0"/>
        <i val="0"/>
        <color theme="1"/>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val="0"/>
        <color rgb="FFFF0000"/>
        <name val="Cambria"/>
        <scheme val="none"/>
      </font>
    </dxf>
    <dxf>
      <font>
        <color rgb="FF003300"/>
      </font>
    </dxf>
    <dxf>
      <font>
        <color theme="0"/>
      </font>
      <fill>
        <patternFill>
          <bgColor theme="0"/>
        </patternFill>
      </fill>
      <border>
        <left/>
        <right/>
        <top/>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patternFill>
      </fill>
    </dxf>
    <dxf>
      <fill>
        <patternFill>
          <bgColor rgb="FF33CC33"/>
        </patternFill>
      </fill>
    </dxf>
    <dxf>
      <fill>
        <patternFill>
          <bgColor rgb="FFFFC000"/>
        </patternFill>
      </fill>
    </dxf>
    <dxf>
      <fill>
        <patternFill>
          <bgColor rgb="FF33CC33"/>
        </patternFill>
      </fill>
    </dxf>
    <dxf>
      <fill>
        <patternFill>
          <bgColor rgb="FFFFC000"/>
        </patternFill>
      </fill>
    </dxf>
    <dxf>
      <font>
        <b/>
        <i val="0"/>
        <color rgb="FFFF0000"/>
      </font>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colors>
    <mruColors>
      <color rgb="FF00FF00"/>
      <color rgb="FF33CC33"/>
      <color rgb="FF008000"/>
      <color rgb="FF993300"/>
      <color rgb="FF244062"/>
      <color rgb="FFFFFFCC"/>
      <color rgb="FFFFFF99"/>
      <color rgb="FFD9D9D9"/>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597377309903314E-2"/>
          <c:y val="1.3433164899192541E-2"/>
          <c:w val="0.94132955251452455"/>
          <c:h val="0.95939722712674658"/>
        </c:manualLayout>
      </c:layout>
      <c:lineChart>
        <c:grouping val="standard"/>
        <c:varyColors val="0"/>
        <c:ser>
          <c:idx val="0"/>
          <c:order val="0"/>
          <c:spPr>
            <a:ln w="25400">
              <a:solidFill>
                <a:srgbClr val="000080"/>
              </a:solidFill>
              <a:prstDash val="solid"/>
            </a:ln>
          </c:spPr>
          <c:marker>
            <c:symbol val="diamond"/>
            <c:size val="5"/>
            <c:spPr>
              <a:solidFill>
                <a:srgbClr val="00CCFF"/>
              </a:solidFill>
              <a:ln>
                <a:solidFill>
                  <a:srgbClr val="000080"/>
                </a:solidFill>
                <a:prstDash val="solid"/>
              </a:ln>
              <a:effectLst>
                <a:outerShdw dist="35921" dir="2700000" algn="br">
                  <a:srgbClr val="000000"/>
                </a:outerShdw>
              </a:effectLst>
            </c:spPr>
          </c:marker>
          <c:dLbls>
            <c:spPr>
              <a:noFill/>
              <a:ln>
                <a:noFill/>
              </a:ln>
              <a:effectLst/>
            </c:spPr>
            <c:txPr>
              <a:bodyPr wrap="square" lIns="38100" tIns="19050" rIns="38100" bIns="19050" anchor="ctr">
                <a:spAutoFit/>
              </a:bodyPr>
              <a:lstStyle/>
              <a:p>
                <a:pPr>
                  <a:defRPr sz="700" b="1">
                    <a:solidFill>
                      <a:srgbClr val="244062"/>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'5_gaerdiagramm'!$D$10:$D$25</c:f>
            </c:multiLvlStrRef>
          </c:cat>
          <c:val>
            <c:numRef>
              <c:f>'5_gaerdiagramm'!$E$10:$E$25</c:f>
              <c:numCache>
                <c:formatCode>0.0</c:formatCode>
                <c:ptCount val="16"/>
              </c:numCache>
            </c:numRef>
          </c:val>
          <c:smooth val="1"/>
          <c:extLst>
            <c:ext xmlns:c16="http://schemas.microsoft.com/office/drawing/2014/chart" uri="{C3380CC4-5D6E-409C-BE32-E72D297353CC}">
              <c16:uniqueId val="{00000000-581D-4DB3-A95C-4C74EF8BF215}"/>
            </c:ext>
          </c:extLst>
        </c:ser>
        <c:ser>
          <c:idx val="1"/>
          <c:order val="1"/>
          <c:spPr>
            <a:ln w="25400">
              <a:solidFill>
                <a:srgbClr val="993300"/>
              </a:solidFill>
              <a:prstDash val="solid"/>
            </a:ln>
          </c:spPr>
          <c:marker>
            <c:symbol val="square"/>
            <c:size val="4"/>
            <c:spPr>
              <a:solidFill>
                <a:srgbClr val="FF9900"/>
              </a:solidFill>
              <a:ln>
                <a:solidFill>
                  <a:srgbClr val="993300"/>
                </a:solidFill>
                <a:prstDash val="solid"/>
              </a:ln>
              <a:effectLst>
                <a:outerShdw dist="35921" dir="2700000" algn="br">
                  <a:srgbClr val="000000"/>
                </a:outerShdw>
              </a:effectLst>
            </c:spPr>
          </c:marker>
          <c:dLbls>
            <c:spPr>
              <a:noFill/>
              <a:ln>
                <a:noFill/>
              </a:ln>
              <a:effectLst/>
            </c:spPr>
            <c:txPr>
              <a:bodyPr wrap="square" lIns="38100" tIns="19050" rIns="38100" bIns="19050" anchor="ctr">
                <a:spAutoFit/>
              </a:bodyPr>
              <a:lstStyle/>
              <a:p>
                <a:pPr>
                  <a:defRPr sz="700" b="1">
                    <a:solidFill>
                      <a:srgbClr val="99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'5_gaerdiagramm'!$D$10:$D$25</c:f>
            </c:multiLvlStrRef>
          </c:cat>
          <c:val>
            <c:numRef>
              <c:f>'5_gaerdiagramm'!$F$10:$F$25</c:f>
              <c:numCache>
                <c:formatCode>0.0</c:formatCode>
                <c:ptCount val="16"/>
                <c:pt idx="0">
                  <c:v>0</c:v>
                </c:pt>
              </c:numCache>
            </c:numRef>
          </c:val>
          <c:smooth val="1"/>
          <c:extLst>
            <c:ext xmlns:c16="http://schemas.microsoft.com/office/drawing/2014/chart" uri="{C3380CC4-5D6E-409C-BE32-E72D297353CC}">
              <c16:uniqueId val="{00000001-581D-4DB3-A95C-4C74EF8BF215}"/>
            </c:ext>
          </c:extLst>
        </c:ser>
        <c:ser>
          <c:idx val="2"/>
          <c:order val="2"/>
          <c:spPr>
            <a:ln w="25400">
              <a:solidFill>
                <a:srgbClr val="008000"/>
              </a:solidFill>
              <a:prstDash val="solid"/>
            </a:ln>
          </c:spPr>
          <c:marker>
            <c:symbol val="triangle"/>
            <c:size val="5"/>
            <c:spPr>
              <a:solidFill>
                <a:srgbClr val="00FF00"/>
              </a:solidFill>
              <a:ln>
                <a:solidFill>
                  <a:srgbClr val="008000"/>
                </a:solidFill>
                <a:prstDash val="solid"/>
              </a:ln>
              <a:effectLst>
                <a:outerShdw dist="35921" dir="2700000" algn="br">
                  <a:srgbClr val="000000"/>
                </a:outerShdw>
              </a:effectLst>
            </c:spPr>
          </c:marker>
          <c:dLbls>
            <c:spPr>
              <a:noFill/>
              <a:ln>
                <a:noFill/>
              </a:ln>
              <a:effectLst/>
            </c:spPr>
            <c:txPr>
              <a:bodyPr wrap="square" lIns="38100" tIns="19050" rIns="38100" bIns="19050" anchor="ctr">
                <a:spAutoFit/>
              </a:bodyPr>
              <a:lstStyle/>
              <a:p>
                <a:pPr>
                  <a:defRPr sz="700" b="1">
                    <a:solidFill>
                      <a:srgbClr val="0080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'5_gaerdiagramm'!$D$10:$D$25</c:f>
            </c:multiLvlStrRef>
          </c:cat>
          <c:val>
            <c:numRef>
              <c:f>'5_gaerdiagramm'!$G$10:$G$25</c:f>
              <c:numCache>
                <c:formatCode>0.0</c:formatCode>
                <c:ptCount val="16"/>
              </c:numCache>
            </c:numRef>
          </c:val>
          <c:smooth val="1"/>
          <c:extLst>
            <c:ext xmlns:c16="http://schemas.microsoft.com/office/drawing/2014/chart" uri="{C3380CC4-5D6E-409C-BE32-E72D297353CC}">
              <c16:uniqueId val="{00000002-581D-4DB3-A95C-4C74EF8BF215}"/>
            </c:ext>
          </c:extLst>
        </c:ser>
        <c:dLbls>
          <c:showLegendKey val="0"/>
          <c:showVal val="0"/>
          <c:showCatName val="0"/>
          <c:showSerName val="0"/>
          <c:showPercent val="0"/>
          <c:showBubbleSize val="0"/>
        </c:dLbls>
        <c:marker val="1"/>
        <c:smooth val="0"/>
        <c:axId val="387743216"/>
        <c:axId val="374851408"/>
      </c:lineChart>
      <c:catAx>
        <c:axId val="387743216"/>
        <c:scaling>
          <c:orientation val="minMax"/>
        </c:scaling>
        <c:delete val="0"/>
        <c:axPos val="b"/>
        <c:majorGridlines>
          <c:spPr>
            <a:ln w="3175">
              <a:solidFill>
                <a:schemeClr val="bg1">
                  <a:lumMod val="65000"/>
                </a:schemeClr>
              </a:solidFill>
              <a:prstDash val="sysDash"/>
            </a:ln>
          </c:spPr>
        </c:majorGridlines>
        <c:numFmt formatCode="dd/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Sylfaen"/>
                <a:ea typeface="Sylfaen"/>
                <a:cs typeface="Sylfaen"/>
              </a:defRPr>
            </a:pPr>
            <a:endParaRPr lang="de-DE"/>
          </a:p>
        </c:txPr>
        <c:crossAx val="374851408"/>
        <c:crosses val="autoZero"/>
        <c:auto val="1"/>
        <c:lblAlgn val="ctr"/>
        <c:lblOffset val="100"/>
        <c:tickLblSkip val="1"/>
        <c:tickMarkSkip val="1"/>
        <c:noMultiLvlLbl val="1"/>
      </c:catAx>
      <c:valAx>
        <c:axId val="374851408"/>
        <c:scaling>
          <c:orientation val="minMax"/>
        </c:scaling>
        <c:delete val="0"/>
        <c:axPos val="l"/>
        <c:majorGridlines>
          <c:spPr>
            <a:ln w="3175">
              <a:solidFill>
                <a:schemeClr val="bg1">
                  <a:lumMod val="65000"/>
                </a:schemeClr>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Sylfaen"/>
                <a:ea typeface="Sylfaen"/>
                <a:cs typeface="Sylfaen"/>
              </a:defRPr>
            </a:pPr>
            <a:endParaRPr lang="de-DE"/>
          </a:p>
        </c:txPr>
        <c:crossAx val="387743216"/>
        <c:crosses val="autoZero"/>
        <c:crossBetween val="midCat"/>
      </c:valAx>
      <c:spPr>
        <a:solidFill>
          <a:schemeClr val="bg1">
            <a:lumMod val="95000"/>
          </a:schemeClr>
        </a:solidFill>
        <a:ln w="12700">
          <a:solidFill>
            <a:srgbClr val="808080"/>
          </a:solidFill>
          <a:prstDash val="solid"/>
        </a:ln>
      </c:spPr>
    </c:plotArea>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009109155473209E-2"/>
          <c:y val="2.6411524925943796E-2"/>
          <c:w val="0.90529258667841361"/>
          <c:h val="0.95459338532404114"/>
        </c:manualLayout>
      </c:layout>
      <c:lineChart>
        <c:grouping val="standard"/>
        <c:varyColors val="0"/>
        <c:ser>
          <c:idx val="21"/>
          <c:order val="0"/>
          <c:spPr>
            <a:ln w="25400">
              <a:solidFill>
                <a:srgbClr val="002060"/>
              </a:solidFill>
            </a:ln>
          </c:spPr>
          <c:marker>
            <c:symbol val="diamond"/>
            <c:size val="5"/>
            <c:spPr>
              <a:solidFill>
                <a:srgbClr val="00B0F0"/>
              </a:solidFill>
              <a:ln>
                <a:solidFill>
                  <a:srgbClr val="244062"/>
                </a:solidFill>
              </a:ln>
            </c:spPr>
          </c:marker>
          <c:cat>
            <c:multiLvlStrRef>
              <c:f>'6_lagerbericht'!$D$15:$D$41</c:f>
            </c:multiLvlStrRef>
          </c:cat>
          <c:val>
            <c:numRef>
              <c:f>'6_lagerbericht'!$E$15:$E$41</c:f>
              <c:numCache>
                <c:formatCode>0.0\ "bar"</c:formatCode>
                <c:ptCount val="27"/>
              </c:numCache>
            </c:numRef>
          </c:val>
          <c:smooth val="1"/>
          <c:extLst>
            <c:ext xmlns:c16="http://schemas.microsoft.com/office/drawing/2014/chart" uri="{C3380CC4-5D6E-409C-BE32-E72D297353CC}">
              <c16:uniqueId val="{00000000-F0AF-4EE6-AA87-655F5F62DBA3}"/>
            </c:ext>
          </c:extLst>
        </c:ser>
        <c:ser>
          <c:idx val="22"/>
          <c:order val="1"/>
          <c:spPr>
            <a:ln w="25400">
              <a:solidFill>
                <a:srgbClr val="993300"/>
              </a:solidFill>
            </a:ln>
          </c:spPr>
          <c:marker>
            <c:symbol val="square"/>
            <c:size val="4"/>
            <c:spPr>
              <a:solidFill>
                <a:srgbClr val="FFC000"/>
              </a:solidFill>
              <a:ln>
                <a:solidFill>
                  <a:srgbClr val="993300"/>
                </a:solidFill>
              </a:ln>
            </c:spPr>
          </c:marker>
          <c:cat>
            <c:multiLvlStrRef>
              <c:f>'6_lagerbericht'!$D$15:$D$41</c:f>
            </c:multiLvlStrRef>
          </c:cat>
          <c:val>
            <c:numRef>
              <c:f>'6_lagerbericht'!$F$15:$F$41</c:f>
              <c:numCache>
                <c:formatCode>0.0\ "bar"</c:formatCode>
                <c:ptCount val="27"/>
              </c:numCache>
            </c:numRef>
          </c:val>
          <c:smooth val="1"/>
          <c:extLst>
            <c:ext xmlns:c16="http://schemas.microsoft.com/office/drawing/2014/chart" uri="{C3380CC4-5D6E-409C-BE32-E72D297353CC}">
              <c16:uniqueId val="{00000001-F0AF-4EE6-AA87-655F5F62DBA3}"/>
            </c:ext>
          </c:extLst>
        </c:ser>
        <c:ser>
          <c:idx val="23"/>
          <c:order val="2"/>
          <c:spPr>
            <a:ln w="25400">
              <a:solidFill>
                <a:srgbClr val="008000"/>
              </a:solidFill>
            </a:ln>
          </c:spPr>
          <c:marker>
            <c:symbol val="triangle"/>
            <c:size val="5"/>
            <c:spPr>
              <a:solidFill>
                <a:srgbClr val="00FF00"/>
              </a:solidFill>
              <a:ln>
                <a:solidFill>
                  <a:srgbClr val="008000"/>
                </a:solidFill>
              </a:ln>
            </c:spPr>
          </c:marker>
          <c:cat>
            <c:multiLvlStrRef>
              <c:f>'6_lagerbericht'!$D$15:$D$41</c:f>
            </c:multiLvlStrRef>
          </c:cat>
          <c:val>
            <c:numRef>
              <c:f>'6_lagerbericht'!$G$15:$G$41</c:f>
              <c:numCache>
                <c:formatCode>0.0\ "bar"</c:formatCode>
                <c:ptCount val="27"/>
              </c:numCache>
            </c:numRef>
          </c:val>
          <c:smooth val="1"/>
          <c:extLst>
            <c:ext xmlns:c16="http://schemas.microsoft.com/office/drawing/2014/chart" uri="{C3380CC4-5D6E-409C-BE32-E72D297353CC}">
              <c16:uniqueId val="{00000002-F0AF-4EE6-AA87-655F5F62DBA3}"/>
            </c:ext>
          </c:extLst>
        </c:ser>
        <c:dLbls>
          <c:showLegendKey val="0"/>
          <c:showVal val="0"/>
          <c:showCatName val="0"/>
          <c:showSerName val="0"/>
          <c:showPercent val="0"/>
          <c:showBubbleSize val="0"/>
        </c:dLbls>
        <c:marker val="1"/>
        <c:smooth val="0"/>
        <c:axId val="375306072"/>
        <c:axId val="375306456"/>
      </c:lineChart>
      <c:catAx>
        <c:axId val="375306072"/>
        <c:scaling>
          <c:orientation val="minMax"/>
        </c:scaling>
        <c:delete val="0"/>
        <c:axPos val="b"/>
        <c:majorGridlines>
          <c:spPr>
            <a:ln w="3175">
              <a:solidFill>
                <a:schemeClr val="bg1">
                  <a:lumMod val="65000"/>
                </a:schemeClr>
              </a:solidFill>
              <a:prstDash val="sysDash"/>
            </a:ln>
          </c:spPr>
        </c:majorGridlines>
        <c:numFmt formatCode="d/m;@" sourceLinked="0"/>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Sylfaen"/>
                <a:ea typeface="Sylfaen"/>
                <a:cs typeface="Sylfaen"/>
              </a:defRPr>
            </a:pPr>
            <a:endParaRPr lang="de-DE"/>
          </a:p>
        </c:txPr>
        <c:crossAx val="375306456"/>
        <c:crosses val="autoZero"/>
        <c:auto val="1"/>
        <c:lblAlgn val="ctr"/>
        <c:lblOffset val="100"/>
        <c:tickLblSkip val="1"/>
        <c:tickMarkSkip val="1"/>
        <c:noMultiLvlLbl val="0"/>
      </c:catAx>
      <c:valAx>
        <c:axId val="375306456"/>
        <c:scaling>
          <c:orientation val="minMax"/>
        </c:scaling>
        <c:delete val="0"/>
        <c:axPos val="l"/>
        <c:majorGridlines>
          <c:spPr>
            <a:ln w="3175">
              <a:solidFill>
                <a:schemeClr val="bg1">
                  <a:lumMod val="65000"/>
                </a:schemeClr>
              </a:solidFill>
              <a:prstDash val="sysDash"/>
            </a:ln>
          </c:spPr>
        </c:majorGridlines>
        <c:numFmt formatCode="0.0\ &quot;bar&quot;"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Sylfaen"/>
                <a:ea typeface="Sylfaen"/>
                <a:cs typeface="Sylfaen"/>
              </a:defRPr>
            </a:pPr>
            <a:endParaRPr lang="de-DE"/>
          </a:p>
        </c:txPr>
        <c:crossAx val="375306072"/>
        <c:crosses val="autoZero"/>
        <c:crossBetween val="midCat"/>
      </c:valAx>
      <c:spPr>
        <a:solidFill>
          <a:schemeClr val="bg1">
            <a:lumMod val="95000"/>
          </a:schemeClr>
        </a:solidFill>
        <a:ln w="12700">
          <a:solidFill>
            <a:srgbClr val="808080"/>
          </a:solidFill>
          <a:prstDash val="solid"/>
        </a:ln>
      </c:spPr>
    </c:plotArea>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340356591601019"/>
          <c:y val="9.9290692516874002E-2"/>
          <c:w val="0.63821319596541293"/>
          <c:h val="0.79388940437198308"/>
        </c:manualLayout>
      </c:layout>
      <c:radarChart>
        <c:radarStyle val="marker"/>
        <c:varyColors val="0"/>
        <c:ser>
          <c:idx val="0"/>
          <c:order val="0"/>
          <c:spPr>
            <a:ln w="15875" cap="rnd">
              <a:solidFill>
                <a:schemeClr val="accent1"/>
              </a:solidFill>
              <a:round/>
            </a:ln>
            <a:effectLst>
              <a:outerShdw blurRad="40000" dist="20000" dir="5400000" rotWithShape="0">
                <a:srgbClr val="000000">
                  <a:alpha val="38000"/>
                </a:srgbClr>
              </a:outerShdw>
            </a:effectLst>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cat>
            <c:strRef>
              <c:f>'7_verkostungsbogen'!$AQ$28:$AQ$37</c:f>
              <c:strCache>
                <c:ptCount val="10"/>
                <c:pt idx="0">
                  <c:v>Alkohol</c:v>
                </c:pt>
                <c:pt idx="1">
                  <c:v>Hefe-aroma</c:v>
                </c:pt>
                <c:pt idx="2">
                  <c:v>Hopfen-bittere</c:v>
                </c:pt>
                <c:pt idx="3">
                  <c:v>Hopfen-aroma</c:v>
                </c:pt>
                <c:pt idx="4">
                  <c:v>Malz-aroma</c:v>
                </c:pt>
                <c:pt idx="5">
                  <c:v>Malzsüße</c:v>
                </c:pt>
                <c:pt idx="6">
                  <c:v>Säure</c:v>
                </c:pt>
                <c:pt idx="7">
                  <c:v>Vollmun-digkeit</c:v>
                </c:pt>
                <c:pt idx="8">
                  <c:v>Adstrin-genz</c:v>
                </c:pt>
                <c:pt idx="9">
                  <c:v>Abgang</c:v>
                </c:pt>
              </c:strCache>
            </c:strRef>
          </c:cat>
          <c:val>
            <c:numRef>
              <c:f>'7_verkostungsbogen'!$AQ$36</c:f>
              <c:numCache>
                <c:formatCode>General</c:formatCode>
                <c:ptCount val="1"/>
                <c:pt idx="0">
                  <c:v>0</c:v>
                </c:pt>
              </c:numCache>
            </c:numRef>
          </c:val>
          <c:extLst>
            <c:ext xmlns:c16="http://schemas.microsoft.com/office/drawing/2014/chart" uri="{C3380CC4-5D6E-409C-BE32-E72D297353CC}">
              <c16:uniqueId val="{00000000-BF6D-4D57-92F3-78C7C18923F9}"/>
            </c:ext>
          </c:extLst>
        </c:ser>
        <c:ser>
          <c:idx val="1"/>
          <c:order val="1"/>
          <c:spPr>
            <a:ln w="15875" cap="rnd">
              <a:solidFill>
                <a:schemeClr val="accent2"/>
              </a:solidFill>
              <a:round/>
            </a:ln>
            <a:effectLst>
              <a:outerShdw blurRad="40000" dist="20000" dir="5400000" rotWithShape="0">
                <a:srgbClr val="000000">
                  <a:alpha val="38000"/>
                </a:srgbClr>
              </a:outerShdw>
            </a:effectLst>
          </c:spPr>
          <c:marker>
            <c:symbol val="circle"/>
            <c:size val="4"/>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marker>
          <c:cat>
            <c:strRef>
              <c:f>'7_verkostungsbogen'!$AQ$28:$AQ$37</c:f>
              <c:strCache>
                <c:ptCount val="10"/>
                <c:pt idx="0">
                  <c:v>Alkohol</c:v>
                </c:pt>
                <c:pt idx="1">
                  <c:v>Hefe-aroma</c:v>
                </c:pt>
                <c:pt idx="2">
                  <c:v>Hopfen-bittere</c:v>
                </c:pt>
                <c:pt idx="3">
                  <c:v>Hopfen-aroma</c:v>
                </c:pt>
                <c:pt idx="4">
                  <c:v>Malz-aroma</c:v>
                </c:pt>
                <c:pt idx="5">
                  <c:v>Malzsüße</c:v>
                </c:pt>
                <c:pt idx="6">
                  <c:v>Säure</c:v>
                </c:pt>
                <c:pt idx="7">
                  <c:v>Vollmun-digkeit</c:v>
                </c:pt>
                <c:pt idx="8">
                  <c:v>Adstrin-genz</c:v>
                </c:pt>
                <c:pt idx="9">
                  <c:v>Abgang</c:v>
                </c:pt>
              </c:strCache>
            </c:strRef>
          </c:cat>
          <c:val>
            <c:numRef>
              <c:f>'7_verkostungsbogen'!$I$35:$R$35</c:f>
              <c:numCache>
                <c:formatCode>General</c:formatCode>
                <c:ptCount val="10"/>
              </c:numCache>
            </c:numRef>
          </c:val>
          <c:extLst>
            <c:ext xmlns:c16="http://schemas.microsoft.com/office/drawing/2014/chart" uri="{C3380CC4-5D6E-409C-BE32-E72D297353CC}">
              <c16:uniqueId val="{00000001-BF6D-4D57-92F3-78C7C18923F9}"/>
            </c:ext>
          </c:extLst>
        </c:ser>
        <c:ser>
          <c:idx val="2"/>
          <c:order val="2"/>
          <c:spPr>
            <a:ln w="15875" cap="rnd">
              <a:solidFill>
                <a:schemeClr val="accent3"/>
              </a:solidFill>
              <a:round/>
            </a:ln>
            <a:effectLst>
              <a:outerShdw blurRad="40000" dist="20000" dir="5400000" rotWithShape="0">
                <a:srgbClr val="000000">
                  <a:alpha val="38000"/>
                </a:srgbClr>
              </a:outerShdw>
            </a:effectLst>
          </c:spPr>
          <c:marker>
            <c:symbol val="circle"/>
            <c:size val="4"/>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marker>
          <c:cat>
            <c:strRef>
              <c:f>'7_verkostungsbogen'!$AQ$28:$AQ$37</c:f>
              <c:strCache>
                <c:ptCount val="10"/>
                <c:pt idx="0">
                  <c:v>Alkohol</c:v>
                </c:pt>
                <c:pt idx="1">
                  <c:v>Hefe-aroma</c:v>
                </c:pt>
                <c:pt idx="2">
                  <c:v>Hopfen-bittere</c:v>
                </c:pt>
                <c:pt idx="3">
                  <c:v>Hopfen-aroma</c:v>
                </c:pt>
                <c:pt idx="4">
                  <c:v>Malz-aroma</c:v>
                </c:pt>
                <c:pt idx="5">
                  <c:v>Malzsüße</c:v>
                </c:pt>
                <c:pt idx="6">
                  <c:v>Säure</c:v>
                </c:pt>
                <c:pt idx="7">
                  <c:v>Vollmun-digkeit</c:v>
                </c:pt>
                <c:pt idx="8">
                  <c:v>Adstrin-genz</c:v>
                </c:pt>
                <c:pt idx="9">
                  <c:v>Abgang</c:v>
                </c:pt>
              </c:strCache>
            </c:strRef>
          </c:cat>
          <c:val>
            <c:numRef>
              <c:f>'7_verkostungsbogen'!$I$36:$R$36</c:f>
              <c:numCache>
                <c:formatCode>General</c:formatCode>
                <c:ptCount val="10"/>
              </c:numCache>
            </c:numRef>
          </c:val>
          <c:extLst>
            <c:ext xmlns:c16="http://schemas.microsoft.com/office/drawing/2014/chart" uri="{C3380CC4-5D6E-409C-BE32-E72D297353CC}">
              <c16:uniqueId val="{00000007-BF6D-4D57-92F3-78C7C18923F9}"/>
            </c:ext>
          </c:extLst>
        </c:ser>
        <c:dLbls>
          <c:showLegendKey val="0"/>
          <c:showVal val="0"/>
          <c:showCatName val="0"/>
          <c:showSerName val="0"/>
          <c:showPercent val="0"/>
          <c:showBubbleSize val="0"/>
        </c:dLbls>
        <c:axId val="372262864"/>
        <c:axId val="372264040"/>
      </c:radarChart>
      <c:catAx>
        <c:axId val="37226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50000"/>
                    <a:lumOff val="50000"/>
                  </a:schemeClr>
                </a:solidFill>
                <a:latin typeface="+mn-lt"/>
                <a:ea typeface="+mn-ea"/>
                <a:cs typeface="+mn-cs"/>
              </a:defRPr>
            </a:pPr>
            <a:endParaRPr lang="de-DE"/>
          </a:p>
        </c:txPr>
        <c:crossAx val="372264040"/>
        <c:crosses val="autoZero"/>
        <c:auto val="1"/>
        <c:lblAlgn val="ctr"/>
        <c:lblOffset val="100"/>
        <c:noMultiLvlLbl val="0"/>
      </c:catAx>
      <c:valAx>
        <c:axId val="372264040"/>
        <c:scaling>
          <c:orientation val="minMax"/>
          <c:max val="5"/>
        </c:scaling>
        <c:delete val="0"/>
        <c:axPos val="l"/>
        <c:majorGridlines>
          <c:spPr>
            <a:ln w="9525" cap="flat" cmpd="sng" algn="ctr">
              <a:solidFill>
                <a:schemeClr val="bg1">
                  <a:lumMod val="6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65000"/>
                  </a:schemeClr>
                </a:solidFill>
                <a:latin typeface="+mn-lt"/>
                <a:ea typeface="+mn-ea"/>
                <a:cs typeface="+mn-cs"/>
              </a:defRPr>
            </a:pPr>
            <a:endParaRPr lang="de-DE"/>
          </a:p>
        </c:txPr>
        <c:crossAx val="37226286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6350" cap="flat" cmpd="sng" algn="ctr">
      <a:solidFill>
        <a:schemeClr val="tx1"/>
      </a:solidFill>
      <a:round/>
    </a:ln>
    <a:effectLst/>
  </c:spPr>
  <c:txPr>
    <a:bodyPr rot="0" vert="wordArtVert" anchor="ctr" anchorCtr="1"/>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935274087209723"/>
          <c:y val="0.11461161531267071"/>
          <c:w val="0.67732427825381814"/>
          <c:h val="0.78203156003044483"/>
        </c:manualLayout>
      </c:layout>
      <c:radarChart>
        <c:radarStyle val="marker"/>
        <c:varyColors val="0"/>
        <c:ser>
          <c:idx val="3"/>
          <c:order val="0"/>
          <c:spPr>
            <a:ln w="15875" cap="rnd">
              <a:solidFill>
                <a:schemeClr val="accent4"/>
              </a:solidFill>
              <a:round/>
            </a:ln>
            <a:effectLst>
              <a:outerShdw blurRad="40000" dist="20000" dir="5400000" rotWithShape="0">
                <a:srgbClr val="000000">
                  <a:alpha val="38000"/>
                </a:srgbClr>
              </a:outerShdw>
            </a:effectLst>
          </c:spPr>
          <c:marker>
            <c:symbol val="circle"/>
            <c:size val="4"/>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marker>
          <c:cat>
            <c:strRef>
              <c:f>'7_verkostungsbogen'!$AS$28:$AS$37</c:f>
              <c:strCache>
                <c:ptCount val="10"/>
                <c:pt idx="0">
                  <c:v>Banane</c:v>
                </c:pt>
                <c:pt idx="1">
                  <c:v>Zitrus-früchte</c:v>
                </c:pt>
                <c:pt idx="2">
                  <c:v>Tropi-sche Früchte</c:v>
                </c:pt>
                <c:pt idx="3">
                  <c:v>Beeren-früchte</c:v>
                </c:pt>
                <c:pt idx="4">
                  <c:v>Dörr-obst</c:v>
                </c:pt>
                <c:pt idx="5">
                  <c:v>Nelke</c:v>
                </c:pt>
                <c:pt idx="6">
                  <c:v>Kara-mell</c:v>
                </c:pt>
                <c:pt idx="7">
                  <c:v>Kaffee</c:v>
                </c:pt>
                <c:pt idx="8">
                  <c:v>Schoko-lade</c:v>
                </c:pt>
                <c:pt idx="9">
                  <c:v>Honig</c:v>
                </c:pt>
              </c:strCache>
            </c:strRef>
          </c:cat>
          <c:val>
            <c:numRef>
              <c:f>'7_verkostungsbogen'!$AQ$36</c:f>
              <c:numCache>
                <c:formatCode>General</c:formatCode>
                <c:ptCount val="1"/>
                <c:pt idx="0">
                  <c:v>0</c:v>
                </c:pt>
              </c:numCache>
            </c:numRef>
          </c:val>
          <c:extLst>
            <c:ext xmlns:c16="http://schemas.microsoft.com/office/drawing/2014/chart" uri="{C3380CC4-5D6E-409C-BE32-E72D297353CC}">
              <c16:uniqueId val="{00000000-29F2-4CB0-B41D-C618FF03F1E4}"/>
            </c:ext>
          </c:extLst>
        </c:ser>
        <c:ser>
          <c:idx val="4"/>
          <c:order val="1"/>
          <c:spPr>
            <a:ln w="15875" cap="rnd">
              <a:solidFill>
                <a:schemeClr val="accent2"/>
              </a:solidFill>
              <a:round/>
            </a:ln>
            <a:effectLst>
              <a:outerShdw blurRad="40000" dist="20000" dir="5400000" rotWithShape="0">
                <a:srgbClr val="000000">
                  <a:alpha val="38000"/>
                </a:srgbClr>
              </a:outerShdw>
            </a:effectLst>
          </c:spPr>
          <c:marker>
            <c:symbol val="circle"/>
            <c:size val="4"/>
            <c:spPr>
              <a:solidFill>
                <a:schemeClr val="accent2">
                  <a:lumMod val="40000"/>
                  <a:lumOff val="60000"/>
                </a:schemeClr>
              </a:solidFill>
              <a:ln w="9525" cap="flat" cmpd="sng" algn="ctr">
                <a:solidFill>
                  <a:schemeClr val="accent2"/>
                </a:solidFill>
                <a:round/>
              </a:ln>
              <a:effectLst>
                <a:outerShdw blurRad="40000" dist="20000" dir="5400000" rotWithShape="0">
                  <a:srgbClr val="000000">
                    <a:alpha val="38000"/>
                  </a:srgbClr>
                </a:outerShdw>
              </a:effectLst>
            </c:spPr>
          </c:marker>
          <c:cat>
            <c:strRef>
              <c:f>'7_verkostungsbogen'!$AS$28:$AS$37</c:f>
              <c:strCache>
                <c:ptCount val="10"/>
                <c:pt idx="0">
                  <c:v>Banane</c:v>
                </c:pt>
                <c:pt idx="1">
                  <c:v>Zitrus-früchte</c:v>
                </c:pt>
                <c:pt idx="2">
                  <c:v>Tropi-sche Früchte</c:v>
                </c:pt>
                <c:pt idx="3">
                  <c:v>Beeren-früchte</c:v>
                </c:pt>
                <c:pt idx="4">
                  <c:v>Dörr-obst</c:v>
                </c:pt>
                <c:pt idx="5">
                  <c:v>Nelke</c:v>
                </c:pt>
                <c:pt idx="6">
                  <c:v>Kara-mell</c:v>
                </c:pt>
                <c:pt idx="7">
                  <c:v>Kaffee</c:v>
                </c:pt>
                <c:pt idx="8">
                  <c:v>Schoko-lade</c:v>
                </c:pt>
                <c:pt idx="9">
                  <c:v>Honig</c:v>
                </c:pt>
              </c:strCache>
            </c:strRef>
          </c:cat>
          <c:val>
            <c:numRef>
              <c:f>'7_verkostungsbogen'!$AB$35:$AK$35</c:f>
              <c:numCache>
                <c:formatCode>General</c:formatCode>
                <c:ptCount val="10"/>
              </c:numCache>
            </c:numRef>
          </c:val>
          <c:extLst>
            <c:ext xmlns:c16="http://schemas.microsoft.com/office/drawing/2014/chart" uri="{C3380CC4-5D6E-409C-BE32-E72D297353CC}">
              <c16:uniqueId val="{00000001-29F2-4CB0-B41D-C618FF03F1E4}"/>
            </c:ext>
          </c:extLst>
        </c:ser>
        <c:ser>
          <c:idx val="5"/>
          <c:order val="2"/>
          <c:spPr>
            <a:ln w="15875" cap="rnd">
              <a:solidFill>
                <a:schemeClr val="accent3"/>
              </a:solidFill>
              <a:round/>
            </a:ln>
            <a:effectLst>
              <a:outerShdw blurRad="40000" dist="20000" dir="5400000" rotWithShape="0">
                <a:srgbClr val="000000">
                  <a:alpha val="38000"/>
                </a:srgbClr>
              </a:outerShdw>
            </a:effectLst>
          </c:spPr>
          <c:marker>
            <c:symbol val="circle"/>
            <c:size val="4"/>
            <c:spPr>
              <a:solidFill>
                <a:schemeClr val="accent3">
                  <a:lumMod val="40000"/>
                  <a:lumOff val="60000"/>
                </a:schemeClr>
              </a:solidFill>
              <a:ln w="9525" cap="flat" cmpd="sng" algn="ctr">
                <a:solidFill>
                  <a:schemeClr val="accent3"/>
                </a:solidFill>
                <a:round/>
              </a:ln>
              <a:effectLst>
                <a:outerShdw blurRad="40000" dist="20000" dir="5400000" rotWithShape="0">
                  <a:srgbClr val="000000">
                    <a:alpha val="38000"/>
                  </a:srgbClr>
                </a:outerShdw>
              </a:effectLst>
            </c:spPr>
          </c:marker>
          <c:cat>
            <c:strRef>
              <c:f>'7_verkostungsbogen'!$AS$28:$AS$37</c:f>
              <c:strCache>
                <c:ptCount val="10"/>
                <c:pt idx="0">
                  <c:v>Banane</c:v>
                </c:pt>
                <c:pt idx="1">
                  <c:v>Zitrus-früchte</c:v>
                </c:pt>
                <c:pt idx="2">
                  <c:v>Tropi-sche Früchte</c:v>
                </c:pt>
                <c:pt idx="3">
                  <c:v>Beeren-früchte</c:v>
                </c:pt>
                <c:pt idx="4">
                  <c:v>Dörr-obst</c:v>
                </c:pt>
                <c:pt idx="5">
                  <c:v>Nelke</c:v>
                </c:pt>
                <c:pt idx="6">
                  <c:v>Kara-mell</c:v>
                </c:pt>
                <c:pt idx="7">
                  <c:v>Kaffee</c:v>
                </c:pt>
                <c:pt idx="8">
                  <c:v>Schoko-lade</c:v>
                </c:pt>
                <c:pt idx="9">
                  <c:v>Honig</c:v>
                </c:pt>
              </c:strCache>
            </c:strRef>
          </c:cat>
          <c:val>
            <c:numRef>
              <c:f>'7_verkostungsbogen'!$AB$36:$AK$36</c:f>
              <c:numCache>
                <c:formatCode>General</c:formatCode>
                <c:ptCount val="10"/>
              </c:numCache>
            </c:numRef>
          </c:val>
          <c:extLst>
            <c:ext xmlns:c16="http://schemas.microsoft.com/office/drawing/2014/chart" uri="{C3380CC4-5D6E-409C-BE32-E72D297353CC}">
              <c16:uniqueId val="{00000002-29F2-4CB0-B41D-C618FF03F1E4}"/>
            </c:ext>
          </c:extLst>
        </c:ser>
        <c:ser>
          <c:idx val="0"/>
          <c:order val="3"/>
          <c:spPr>
            <a:ln w="15875" cap="rnd">
              <a:solidFill>
                <a:schemeClr val="accent1"/>
              </a:solidFill>
              <a:round/>
            </a:ln>
            <a:effectLst>
              <a:outerShdw blurRad="40000" dist="20000" dir="5400000" rotWithShape="0">
                <a:srgbClr val="000000">
                  <a:alpha val="38000"/>
                </a:srgbClr>
              </a:outerShdw>
            </a:effectLst>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cat>
            <c:strRef>
              <c:f>'7_verkostungsbogen'!$AS$28:$AS$37</c:f>
              <c:strCache>
                <c:ptCount val="10"/>
                <c:pt idx="0">
                  <c:v>Banane</c:v>
                </c:pt>
                <c:pt idx="1">
                  <c:v>Zitrus-früchte</c:v>
                </c:pt>
                <c:pt idx="2">
                  <c:v>Tropi-sche Früchte</c:v>
                </c:pt>
                <c:pt idx="3">
                  <c:v>Beeren-früchte</c:v>
                </c:pt>
                <c:pt idx="4">
                  <c:v>Dörr-obst</c:v>
                </c:pt>
                <c:pt idx="5">
                  <c:v>Nelke</c:v>
                </c:pt>
                <c:pt idx="6">
                  <c:v>Kara-mell</c:v>
                </c:pt>
                <c:pt idx="7">
                  <c:v>Kaffee</c:v>
                </c:pt>
                <c:pt idx="8">
                  <c:v>Schoko-lade</c:v>
                </c:pt>
                <c:pt idx="9">
                  <c:v>Honig</c:v>
                </c:pt>
              </c:strCache>
            </c:strRef>
          </c:cat>
          <c:val>
            <c:numRef>
              <c:f>'7_verkostungsbogen'!$AQ$36</c:f>
              <c:numCache>
                <c:formatCode>General</c:formatCode>
                <c:ptCount val="1"/>
                <c:pt idx="0">
                  <c:v>0</c:v>
                </c:pt>
              </c:numCache>
            </c:numRef>
          </c:val>
          <c:extLst>
            <c:ext xmlns:c16="http://schemas.microsoft.com/office/drawing/2014/chart" uri="{C3380CC4-5D6E-409C-BE32-E72D297353CC}">
              <c16:uniqueId val="{00000003-29F2-4CB0-B41D-C618FF03F1E4}"/>
            </c:ext>
          </c:extLst>
        </c:ser>
        <c:dLbls>
          <c:showLegendKey val="0"/>
          <c:showVal val="0"/>
          <c:showCatName val="0"/>
          <c:showSerName val="0"/>
          <c:showPercent val="0"/>
          <c:showBubbleSize val="0"/>
        </c:dLbls>
        <c:axId val="372260904"/>
        <c:axId val="372261688"/>
      </c:radarChart>
      <c:catAx>
        <c:axId val="37226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50000"/>
                    <a:lumOff val="50000"/>
                  </a:schemeClr>
                </a:solidFill>
                <a:latin typeface="+mn-lt"/>
                <a:ea typeface="+mn-ea"/>
                <a:cs typeface="+mn-cs"/>
              </a:defRPr>
            </a:pPr>
            <a:endParaRPr lang="de-DE"/>
          </a:p>
        </c:txPr>
        <c:crossAx val="372261688"/>
        <c:crosses val="autoZero"/>
        <c:auto val="1"/>
        <c:lblAlgn val="ctr"/>
        <c:lblOffset val="100"/>
        <c:noMultiLvlLbl val="0"/>
      </c:catAx>
      <c:valAx>
        <c:axId val="372261688"/>
        <c:scaling>
          <c:orientation val="minMax"/>
          <c:max val="5"/>
        </c:scaling>
        <c:delete val="0"/>
        <c:axPos val="l"/>
        <c:majorGridlines>
          <c:spPr>
            <a:ln w="9525" cap="flat" cmpd="sng" algn="ctr">
              <a:solidFill>
                <a:schemeClr val="bg1">
                  <a:lumMod val="6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lumMod val="65000"/>
                  </a:schemeClr>
                </a:solidFill>
                <a:latin typeface="+mn-lt"/>
                <a:ea typeface="+mn-ea"/>
                <a:cs typeface="+mn-cs"/>
              </a:defRPr>
            </a:pPr>
            <a:endParaRPr lang="de-DE"/>
          </a:p>
        </c:txPr>
        <c:crossAx val="372260904"/>
        <c:crosses val="autoZero"/>
        <c:crossBetween val="between"/>
        <c:majorUnit val="1"/>
      </c:valAx>
      <c:spPr>
        <a:noFill/>
        <a:ln>
          <a:noFill/>
        </a:ln>
        <a:effectLst/>
      </c:spPr>
    </c:plotArea>
    <c:plotVisOnly val="1"/>
    <c:dispBlanksAs val="gap"/>
    <c:showDLblsOverMax val="0"/>
    <c:extLst/>
  </c:chart>
  <c:spPr>
    <a:solidFill>
      <a:schemeClr val="bg1">
        <a:lumMod val="95000"/>
      </a:schemeClr>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fmlaLink="$S$35" noThreeD="1"/>
</file>

<file path=xl/ctrlProps/ctrlProp10.xml><?xml version="1.0" encoding="utf-8"?>
<formControlPr xmlns="http://schemas.microsoft.com/office/spreadsheetml/2009/9/main" objectType="CheckBox" fmlaLink="$S$43" lockText="1" noThreeD="1"/>
</file>

<file path=xl/ctrlProps/ctrlProp11.xml><?xml version="1.0" encoding="utf-8"?>
<formControlPr xmlns="http://schemas.microsoft.com/office/spreadsheetml/2009/9/main" objectType="CheckBox" fmlaLink="$S$44" lockText="1" noThreeD="1"/>
</file>

<file path=xl/ctrlProps/ctrlProp12.xml><?xml version="1.0" encoding="utf-8"?>
<formControlPr xmlns="http://schemas.microsoft.com/office/spreadsheetml/2009/9/main" objectType="CheckBox" fmlaLink="$AH$36" lockText="1" noThreeD="1"/>
</file>

<file path=xl/ctrlProps/ctrlProp13.xml><?xml version="1.0" encoding="utf-8"?>
<formControlPr xmlns="http://schemas.microsoft.com/office/spreadsheetml/2009/9/main" objectType="CheckBox" fmlaLink="$AH$37" lockText="1" noThreeD="1"/>
</file>

<file path=xl/ctrlProps/ctrlProp14.xml><?xml version="1.0" encoding="utf-8"?>
<formControlPr xmlns="http://schemas.microsoft.com/office/spreadsheetml/2009/9/main" objectType="CheckBox" fmlaLink="$AH$38" lockText="1" noThreeD="1"/>
</file>

<file path=xl/ctrlProps/ctrlProp15.xml><?xml version="1.0" encoding="utf-8"?>
<formControlPr xmlns="http://schemas.microsoft.com/office/spreadsheetml/2009/9/main" objectType="CheckBox" fmlaLink="$AH$39" lockText="1" noThreeD="1"/>
</file>

<file path=xl/ctrlProps/ctrlProp16.xml><?xml version="1.0" encoding="utf-8"?>
<formControlPr xmlns="http://schemas.microsoft.com/office/spreadsheetml/2009/9/main" objectType="CheckBox" fmlaLink="$AH$40" lockText="1" noThreeD="1"/>
</file>

<file path=xl/ctrlProps/ctrlProp17.xml><?xml version="1.0" encoding="utf-8"?>
<formControlPr xmlns="http://schemas.microsoft.com/office/spreadsheetml/2009/9/main" objectType="CheckBox" fmlaLink="$AH$41" lockText="1" noThreeD="1"/>
</file>

<file path=xl/ctrlProps/ctrlProp18.xml><?xml version="1.0" encoding="utf-8"?>
<formControlPr xmlns="http://schemas.microsoft.com/office/spreadsheetml/2009/9/main" objectType="CheckBox" fmlaLink="$AH$42" lockText="1" noThreeD="1"/>
</file>

<file path=xl/ctrlProps/ctrlProp19.xml><?xml version="1.0" encoding="utf-8"?>
<formControlPr xmlns="http://schemas.microsoft.com/office/spreadsheetml/2009/9/main" objectType="CheckBox" fmlaLink="$AH$43" lockText="1" noThreeD="1"/>
</file>

<file path=xl/ctrlProps/ctrlProp2.xml><?xml version="1.0" encoding="utf-8"?>
<formControlPr xmlns="http://schemas.microsoft.com/office/spreadsheetml/2009/9/main" objectType="CheckBox" fmlaLink="$AH$35" lockText="1" noThreeD="1"/>
</file>

<file path=xl/ctrlProps/ctrlProp20.xml><?xml version="1.0" encoding="utf-8"?>
<formControlPr xmlns="http://schemas.microsoft.com/office/spreadsheetml/2009/9/main" objectType="CheckBox" fmlaLink="$AH$44" lockText="1" noThreeD="1"/>
</file>

<file path=xl/ctrlProps/ctrlProp21.xml><?xml version="1.0" encoding="utf-8"?>
<formControlPr xmlns="http://schemas.microsoft.com/office/spreadsheetml/2009/9/main" objectType="CheckBox" fmlaLink="$S$45" lockText="1" noThreeD="1"/>
</file>

<file path=xl/ctrlProps/ctrlProp22.xml><?xml version="1.0" encoding="utf-8"?>
<formControlPr xmlns="http://schemas.microsoft.com/office/spreadsheetml/2009/9/main" objectType="CheckBox" fmlaLink="$AH$45" lockText="1" noThreeD="1"/>
</file>

<file path=xl/ctrlProps/ctrlProp23.xml><?xml version="1.0" encoding="utf-8"?>
<formControlPr xmlns="http://schemas.microsoft.com/office/spreadsheetml/2009/9/main" objectType="CheckBox" fmlaLink="$S$46"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S$36"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fmlaLink="$S$37" lockText="1" noThreeD="1"/>
</file>

<file path=xl/ctrlProps/ctrlProp5.xml><?xml version="1.0" encoding="utf-8"?>
<formControlPr xmlns="http://schemas.microsoft.com/office/spreadsheetml/2009/9/main" objectType="CheckBox" fmlaLink="$S$38" lockText="1" noThreeD="1"/>
</file>

<file path=xl/ctrlProps/ctrlProp6.xml><?xml version="1.0" encoding="utf-8"?>
<formControlPr xmlns="http://schemas.microsoft.com/office/spreadsheetml/2009/9/main" objectType="CheckBox" fmlaLink="$S$39" lockText="1" noThreeD="1"/>
</file>

<file path=xl/ctrlProps/ctrlProp7.xml><?xml version="1.0" encoding="utf-8"?>
<formControlPr xmlns="http://schemas.microsoft.com/office/spreadsheetml/2009/9/main" objectType="CheckBox" fmlaLink="$S$40" lockText="1" noThreeD="1"/>
</file>

<file path=xl/ctrlProps/ctrlProp8.xml><?xml version="1.0" encoding="utf-8"?>
<formControlPr xmlns="http://schemas.microsoft.com/office/spreadsheetml/2009/9/main" objectType="CheckBox" fmlaLink="$S$41" lockText="1" noThreeD="1"/>
</file>

<file path=xl/ctrlProps/ctrlProp9.xml><?xml version="1.0" encoding="utf-8"?>
<formControlPr xmlns="http://schemas.microsoft.com/office/spreadsheetml/2009/9/main" objectType="CheckBox" fmlaLink="$S$42"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5.sv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svg"/><Relationship Id="rId2" Type="http://schemas.openxmlformats.org/officeDocument/2006/relationships/image" Target="../media/image9.png"/><Relationship Id="rId1" Type="http://schemas.openxmlformats.org/officeDocument/2006/relationships/image" Target="../media/image8.jpeg"/><Relationship Id="rId6" Type="http://schemas.openxmlformats.org/officeDocument/2006/relationships/image" Target="../media/image13.sv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svg"/><Relationship Id="rId4" Type="http://schemas.openxmlformats.org/officeDocument/2006/relationships/image" Target="../media/image11.png"/><Relationship Id="rId9"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20.jpg"/></Relationships>
</file>

<file path=xl/drawings/_rels/drawing14.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3" Type="http://schemas.openxmlformats.org/officeDocument/2006/relationships/image" Target="../media/image23.png"/><Relationship Id="rId7" Type="http://schemas.openxmlformats.org/officeDocument/2006/relationships/image" Target="../media/image27.png"/><Relationship Id="rId12" Type="http://schemas.openxmlformats.org/officeDocument/2006/relationships/image" Target="../media/image32.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oneCellAnchor>
    <xdr:from>
      <xdr:col>5</xdr:col>
      <xdr:colOff>1741170</xdr:colOff>
      <xdr:row>0</xdr:row>
      <xdr:rowOff>76198</xdr:rowOff>
    </xdr:from>
    <xdr:ext cx="1002292" cy="1080000"/>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83830" y="76198"/>
          <a:ext cx="1002292" cy="1080000"/>
        </a:xfrm>
        <a:prstGeom prst="rect">
          <a:avLst/>
        </a:prstGeom>
      </xdr:spPr>
    </xdr:pic>
    <xdr:clientData/>
  </xdr:oneCellAnchor>
  <xdr:oneCellAnchor>
    <xdr:from>
      <xdr:col>1</xdr:col>
      <xdr:colOff>7882</xdr:colOff>
      <xdr:row>0</xdr:row>
      <xdr:rowOff>76198</xdr:rowOff>
    </xdr:from>
    <xdr:ext cx="1002292" cy="1080000"/>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1996702" y="76198"/>
          <a:ext cx="1002292" cy="10800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3</xdr:col>
      <xdr:colOff>20517</xdr:colOff>
      <xdr:row>36</xdr:row>
      <xdr:rowOff>93785</xdr:rowOff>
    </xdr:from>
    <xdr:to>
      <xdr:col>18</xdr:col>
      <xdr:colOff>5862</xdr:colOff>
      <xdr:row>51</xdr:row>
      <xdr:rowOff>140678</xdr:rowOff>
    </xdr:to>
    <xdr:graphicFrame macro="">
      <xdr:nvGraphicFramePr>
        <xdr:cNvPr id="6" name="Diagramm 5">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46891</xdr:colOff>
      <xdr:row>36</xdr:row>
      <xdr:rowOff>87923</xdr:rowOff>
    </xdr:from>
    <xdr:to>
      <xdr:col>37</xdr:col>
      <xdr:colOff>23446</xdr:colOff>
      <xdr:row>51</xdr:row>
      <xdr:rowOff>140677</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17586</xdr:colOff>
      <xdr:row>9</xdr:row>
      <xdr:rowOff>0</xdr:rowOff>
    </xdr:from>
    <xdr:to>
      <xdr:col>33</xdr:col>
      <xdr:colOff>63013</xdr:colOff>
      <xdr:row>28</xdr:row>
      <xdr:rowOff>136814</xdr:rowOff>
    </xdr:to>
    <xdr:pic>
      <xdr:nvPicPr>
        <xdr:cNvPr id="2" name="Grafik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466" y="1287780"/>
          <a:ext cx="5832817" cy="2384714"/>
        </a:xfrm>
        <a:prstGeom prst="rect">
          <a:avLst/>
        </a:prstGeom>
      </xdr:spPr>
    </xdr:pic>
    <xdr:clientData/>
  </xdr:twoCellAnchor>
  <xdr:twoCellAnchor editAs="oneCell">
    <xdr:from>
      <xdr:col>3</xdr:col>
      <xdr:colOff>11723</xdr:colOff>
      <xdr:row>33</xdr:row>
      <xdr:rowOff>23446</xdr:rowOff>
    </xdr:from>
    <xdr:to>
      <xdr:col>33</xdr:col>
      <xdr:colOff>56412</xdr:colOff>
      <xdr:row>65</xdr:row>
      <xdr:rowOff>1481</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3431" y="4425461"/>
          <a:ext cx="5860800" cy="3741144"/>
        </a:xfrm>
        <a:prstGeom prst="rect">
          <a:avLst/>
        </a:prstGeom>
      </xdr:spPr>
    </xdr:pic>
    <xdr:clientData/>
  </xdr:twoCellAnchor>
  <xdr:twoCellAnchor>
    <xdr:from>
      <xdr:col>9</xdr:col>
      <xdr:colOff>87923</xdr:colOff>
      <xdr:row>56</xdr:row>
      <xdr:rowOff>175847</xdr:rowOff>
    </xdr:from>
    <xdr:to>
      <xdr:col>16</xdr:col>
      <xdr:colOff>17584</xdr:colOff>
      <xdr:row>58</xdr:row>
      <xdr:rowOff>70340</xdr:rowOff>
    </xdr:to>
    <xdr:sp macro="" textlink="">
      <xdr:nvSpPr>
        <xdr:cNvPr id="4" name="Rechteck 3">
          <a:extLst>
            <a:ext uri="{FF2B5EF4-FFF2-40B4-BE49-F238E27FC236}">
              <a16:creationId xmlns:a16="http://schemas.microsoft.com/office/drawing/2014/main" id="{00000000-0008-0000-0C00-000004000000}"/>
            </a:ext>
          </a:extLst>
        </xdr:cNvPr>
        <xdr:cNvSpPr/>
      </xdr:nvSpPr>
      <xdr:spPr>
        <a:xfrm>
          <a:off x="1360463" y="7231967"/>
          <a:ext cx="1392701" cy="145953"/>
        </a:xfrm>
        <a:prstGeom prst="rect">
          <a:avLst/>
        </a:prstGeom>
        <a:solidFill>
          <a:srgbClr val="FFFF00">
            <a:alpha val="3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29</xdr:col>
      <xdr:colOff>70339</xdr:colOff>
      <xdr:row>62</xdr:row>
      <xdr:rowOff>187569</xdr:rowOff>
    </xdr:from>
    <xdr:to>
      <xdr:col>30</xdr:col>
      <xdr:colOff>35170</xdr:colOff>
      <xdr:row>66</xdr:row>
      <xdr:rowOff>29308</xdr:rowOff>
    </xdr:to>
    <xdr:sp macro="" textlink="">
      <xdr:nvSpPr>
        <xdr:cNvPr id="5" name="Pfeil: nach oben 4">
          <a:extLst>
            <a:ext uri="{FF2B5EF4-FFF2-40B4-BE49-F238E27FC236}">
              <a16:creationId xmlns:a16="http://schemas.microsoft.com/office/drawing/2014/main" id="{00000000-0008-0000-0C00-000005000000}"/>
            </a:ext>
          </a:extLst>
        </xdr:cNvPr>
        <xdr:cNvSpPr/>
      </xdr:nvSpPr>
      <xdr:spPr>
        <a:xfrm>
          <a:off x="5236699" y="7998069"/>
          <a:ext cx="162951" cy="344659"/>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51</xdr:col>
      <xdr:colOff>69274</xdr:colOff>
      <xdr:row>11</xdr:row>
      <xdr:rowOff>189917</xdr:rowOff>
    </xdr:from>
    <xdr:to>
      <xdr:col>56</xdr:col>
      <xdr:colOff>568036</xdr:colOff>
      <xdr:row>24</xdr:row>
      <xdr:rowOff>27710</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2966" b="5026"/>
        <a:stretch/>
      </xdr:blipFill>
      <xdr:spPr>
        <a:xfrm>
          <a:off x="9705110" y="1208226"/>
          <a:ext cx="2417617" cy="1389502"/>
        </a:xfrm>
        <a:prstGeom prst="rect">
          <a:avLst/>
        </a:prstGeom>
      </xdr:spPr>
    </xdr:pic>
    <xdr:clientData/>
  </xdr:twoCellAnchor>
  <xdr:oneCellAnchor>
    <xdr:from>
      <xdr:col>41</xdr:col>
      <xdr:colOff>91448</xdr:colOff>
      <xdr:row>3</xdr:row>
      <xdr:rowOff>89428</xdr:rowOff>
    </xdr:from>
    <xdr:ext cx="410186" cy="410186"/>
    <xdr:pic>
      <xdr:nvPicPr>
        <xdr:cNvPr id="39" name="Grafik 15" descr="Piktogramme Brauerei.png">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3</xdr:row>
      <xdr:rowOff>108262</xdr:rowOff>
    </xdr:from>
    <xdr:ext cx="402567" cy="425426"/>
    <xdr:pic>
      <xdr:nvPicPr>
        <xdr:cNvPr id="40" name="Grafik 16" descr="Piktogramme Brauerei.png">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3</xdr:row>
      <xdr:rowOff>82239</xdr:rowOff>
    </xdr:from>
    <xdr:ext cx="410186" cy="451449"/>
    <xdr:pic>
      <xdr:nvPicPr>
        <xdr:cNvPr id="41" name="Grafik 17" descr="Piktogramme Brauerei.png">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22</xdr:col>
      <xdr:colOff>7191</xdr:colOff>
      <xdr:row>3</xdr:row>
      <xdr:rowOff>21565</xdr:rowOff>
    </xdr:from>
    <xdr:to>
      <xdr:col>24</xdr:col>
      <xdr:colOff>179720</xdr:colOff>
      <xdr:row>5</xdr:row>
      <xdr:rowOff>136674</xdr:rowOff>
    </xdr:to>
    <xdr:pic>
      <xdr:nvPicPr>
        <xdr:cNvPr id="42" name="Grafik 41">
          <a:extLst>
            <a:ext uri="{FF2B5EF4-FFF2-40B4-BE49-F238E27FC236}">
              <a16:creationId xmlns:a16="http://schemas.microsoft.com/office/drawing/2014/main" id="{00000000-0008-0000-0D00-00002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61031" y="189205"/>
          <a:ext cx="568769" cy="572309"/>
        </a:xfrm>
        <a:prstGeom prst="rect">
          <a:avLst/>
        </a:prstGeom>
      </xdr:spPr>
    </xdr:pic>
    <xdr:clientData/>
  </xdr:twoCellAnchor>
  <xdr:oneCellAnchor>
    <xdr:from>
      <xdr:col>41</xdr:col>
      <xdr:colOff>91448</xdr:colOff>
      <xdr:row>11</xdr:row>
      <xdr:rowOff>89428</xdr:rowOff>
    </xdr:from>
    <xdr:ext cx="410186" cy="410186"/>
    <xdr:pic>
      <xdr:nvPicPr>
        <xdr:cNvPr id="47" name="Grafik 15" descr="Piktogramme Brauerei.png">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11</xdr:row>
      <xdr:rowOff>108262</xdr:rowOff>
    </xdr:from>
    <xdr:ext cx="402567" cy="425426"/>
    <xdr:pic>
      <xdr:nvPicPr>
        <xdr:cNvPr id="48" name="Grafik 16" descr="Piktogramme Brauerei.png">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11</xdr:row>
      <xdr:rowOff>82239</xdr:rowOff>
    </xdr:from>
    <xdr:ext cx="410186" cy="451449"/>
    <xdr:pic>
      <xdr:nvPicPr>
        <xdr:cNvPr id="49" name="Grafik 17" descr="Piktogramme Brauerei.png">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19</xdr:row>
      <xdr:rowOff>89428</xdr:rowOff>
    </xdr:from>
    <xdr:ext cx="410186" cy="410186"/>
    <xdr:pic>
      <xdr:nvPicPr>
        <xdr:cNvPr id="50" name="Grafik 15" descr="Piktogramme Brauerei.png">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19</xdr:row>
      <xdr:rowOff>108262</xdr:rowOff>
    </xdr:from>
    <xdr:ext cx="402567" cy="425426"/>
    <xdr:pic>
      <xdr:nvPicPr>
        <xdr:cNvPr id="51" name="Grafik 16" descr="Piktogramme Brauerei.png">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19</xdr:row>
      <xdr:rowOff>82239</xdr:rowOff>
    </xdr:from>
    <xdr:ext cx="410186" cy="451449"/>
    <xdr:pic>
      <xdr:nvPicPr>
        <xdr:cNvPr id="52" name="Grafik 17" descr="Piktogramme Brauerei.png">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27</xdr:row>
      <xdr:rowOff>89428</xdr:rowOff>
    </xdr:from>
    <xdr:ext cx="410186" cy="410186"/>
    <xdr:pic>
      <xdr:nvPicPr>
        <xdr:cNvPr id="53" name="Grafik 15" descr="Piktogramme Brauerei.png">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27</xdr:row>
      <xdr:rowOff>108262</xdr:rowOff>
    </xdr:from>
    <xdr:ext cx="402567" cy="425426"/>
    <xdr:pic>
      <xdr:nvPicPr>
        <xdr:cNvPr id="54" name="Grafik 16" descr="Piktogramme Brauerei.png">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27</xdr:row>
      <xdr:rowOff>82239</xdr:rowOff>
    </xdr:from>
    <xdr:ext cx="410186" cy="451449"/>
    <xdr:pic>
      <xdr:nvPicPr>
        <xdr:cNvPr id="55" name="Grafik 17" descr="Piktogramme Brauerei.png">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35</xdr:row>
      <xdr:rowOff>89428</xdr:rowOff>
    </xdr:from>
    <xdr:ext cx="410186" cy="410186"/>
    <xdr:pic>
      <xdr:nvPicPr>
        <xdr:cNvPr id="56" name="Grafik 15" descr="Piktogramme Brauerei.png">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35</xdr:row>
      <xdr:rowOff>108262</xdr:rowOff>
    </xdr:from>
    <xdr:ext cx="402567" cy="425426"/>
    <xdr:pic>
      <xdr:nvPicPr>
        <xdr:cNvPr id="57" name="Grafik 16" descr="Piktogramme Brauerei.png">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35</xdr:row>
      <xdr:rowOff>82239</xdr:rowOff>
    </xdr:from>
    <xdr:ext cx="410186" cy="451449"/>
    <xdr:pic>
      <xdr:nvPicPr>
        <xdr:cNvPr id="58" name="Grafik 17" descr="Piktogramme Brauerei.png">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43</xdr:row>
      <xdr:rowOff>89428</xdr:rowOff>
    </xdr:from>
    <xdr:ext cx="410186" cy="410186"/>
    <xdr:pic>
      <xdr:nvPicPr>
        <xdr:cNvPr id="59" name="Grafik 15" descr="Piktogramme Brauerei.png">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43</xdr:row>
      <xdr:rowOff>108262</xdr:rowOff>
    </xdr:from>
    <xdr:ext cx="402567" cy="425426"/>
    <xdr:pic>
      <xdr:nvPicPr>
        <xdr:cNvPr id="60" name="Grafik 16" descr="Piktogramme Brauerei.png">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43</xdr:row>
      <xdr:rowOff>82239</xdr:rowOff>
    </xdr:from>
    <xdr:ext cx="410186" cy="451449"/>
    <xdr:pic>
      <xdr:nvPicPr>
        <xdr:cNvPr id="61" name="Grafik 17" descr="Piktogramme Brauerei.png">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51</xdr:row>
      <xdr:rowOff>89428</xdr:rowOff>
    </xdr:from>
    <xdr:ext cx="410186" cy="410186"/>
    <xdr:pic>
      <xdr:nvPicPr>
        <xdr:cNvPr id="62" name="Grafik 15" descr="Piktogramme Brauerei.png">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51</xdr:row>
      <xdr:rowOff>108262</xdr:rowOff>
    </xdr:from>
    <xdr:ext cx="402567" cy="425426"/>
    <xdr:pic>
      <xdr:nvPicPr>
        <xdr:cNvPr id="63" name="Grafik 16" descr="Piktogramme Brauerei.png">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51</xdr:row>
      <xdr:rowOff>82239</xdr:rowOff>
    </xdr:from>
    <xdr:ext cx="410186" cy="451449"/>
    <xdr:pic>
      <xdr:nvPicPr>
        <xdr:cNvPr id="64" name="Grafik 17" descr="Piktogramme Brauerei.png">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41</xdr:col>
      <xdr:colOff>91448</xdr:colOff>
      <xdr:row>59</xdr:row>
      <xdr:rowOff>89428</xdr:rowOff>
    </xdr:from>
    <xdr:ext cx="410186" cy="410186"/>
    <xdr:pic>
      <xdr:nvPicPr>
        <xdr:cNvPr id="65" name="Grafik 15" descr="Piktogramme Brauerei.png">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8027750" y="25476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43</xdr:col>
      <xdr:colOff>121928</xdr:colOff>
      <xdr:row>59</xdr:row>
      <xdr:rowOff>108262</xdr:rowOff>
    </xdr:from>
    <xdr:ext cx="402567" cy="425426"/>
    <xdr:pic>
      <xdr:nvPicPr>
        <xdr:cNvPr id="66" name="Grafik 16" descr="Piktogramme Brauerei.png">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8460796" y="273602"/>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45</xdr:col>
      <xdr:colOff>152409</xdr:colOff>
      <xdr:row>59</xdr:row>
      <xdr:rowOff>82239</xdr:rowOff>
    </xdr:from>
    <xdr:ext cx="410186" cy="451449"/>
    <xdr:pic>
      <xdr:nvPicPr>
        <xdr:cNvPr id="67" name="Grafik 17" descr="Piktogramme Brauerei.png">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8893843" y="247579"/>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20</xdr:col>
      <xdr:colOff>43133</xdr:colOff>
      <xdr:row>3</xdr:row>
      <xdr:rowOff>14374</xdr:rowOff>
    </xdr:from>
    <xdr:to>
      <xdr:col>22</xdr:col>
      <xdr:colOff>24810</xdr:colOff>
      <xdr:row>4</xdr:row>
      <xdr:rowOff>26832</xdr:rowOff>
    </xdr:to>
    <xdr:pic>
      <xdr:nvPicPr>
        <xdr:cNvPr id="35" name="Grafik 34">
          <a:extLst>
            <a:ext uri="{FF2B5EF4-FFF2-40B4-BE49-F238E27FC236}">
              <a16:creationId xmlns:a16="http://schemas.microsoft.com/office/drawing/2014/main" id="{00000000-0008-0000-0D00-000023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752491" y="179714"/>
          <a:ext cx="384244" cy="314382"/>
        </a:xfrm>
        <a:prstGeom prst="rect">
          <a:avLst/>
        </a:prstGeom>
      </xdr:spPr>
    </xdr:pic>
    <xdr:clientData/>
  </xdr:twoCellAnchor>
  <xdr:oneCellAnchor>
    <xdr:from>
      <xdr:col>20</xdr:col>
      <xdr:colOff>43133</xdr:colOff>
      <xdr:row>11</xdr:row>
      <xdr:rowOff>14374</xdr:rowOff>
    </xdr:from>
    <xdr:ext cx="375377" cy="317258"/>
    <xdr:pic>
      <xdr:nvPicPr>
        <xdr:cNvPr id="78" name="Grafik 77">
          <a:extLst>
            <a:ext uri="{FF2B5EF4-FFF2-40B4-BE49-F238E27FC236}">
              <a16:creationId xmlns:a16="http://schemas.microsoft.com/office/drawing/2014/main" id="{00000000-0008-0000-0D00-00004E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19</xdr:row>
      <xdr:rowOff>14374</xdr:rowOff>
    </xdr:from>
    <xdr:ext cx="375377" cy="317258"/>
    <xdr:pic>
      <xdr:nvPicPr>
        <xdr:cNvPr id="79" name="Grafik 78">
          <a:extLst>
            <a:ext uri="{FF2B5EF4-FFF2-40B4-BE49-F238E27FC236}">
              <a16:creationId xmlns:a16="http://schemas.microsoft.com/office/drawing/2014/main" id="{00000000-0008-0000-0D00-00004F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27</xdr:row>
      <xdr:rowOff>14374</xdr:rowOff>
    </xdr:from>
    <xdr:ext cx="375377" cy="317258"/>
    <xdr:pic>
      <xdr:nvPicPr>
        <xdr:cNvPr id="80" name="Grafik 79">
          <a:extLst>
            <a:ext uri="{FF2B5EF4-FFF2-40B4-BE49-F238E27FC236}">
              <a16:creationId xmlns:a16="http://schemas.microsoft.com/office/drawing/2014/main" id="{00000000-0008-0000-0D00-000050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35</xdr:row>
      <xdr:rowOff>14374</xdr:rowOff>
    </xdr:from>
    <xdr:ext cx="375377" cy="317258"/>
    <xdr:pic>
      <xdr:nvPicPr>
        <xdr:cNvPr id="82" name="Grafik 81">
          <a:extLst>
            <a:ext uri="{FF2B5EF4-FFF2-40B4-BE49-F238E27FC236}">
              <a16:creationId xmlns:a16="http://schemas.microsoft.com/office/drawing/2014/main" id="{00000000-0008-0000-0D00-00005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43</xdr:row>
      <xdr:rowOff>14374</xdr:rowOff>
    </xdr:from>
    <xdr:ext cx="375377" cy="317258"/>
    <xdr:pic>
      <xdr:nvPicPr>
        <xdr:cNvPr id="83" name="Grafik 82">
          <a:extLst>
            <a:ext uri="{FF2B5EF4-FFF2-40B4-BE49-F238E27FC236}">
              <a16:creationId xmlns:a16="http://schemas.microsoft.com/office/drawing/2014/main" id="{00000000-0008-0000-0D00-000053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51</xdr:row>
      <xdr:rowOff>14374</xdr:rowOff>
    </xdr:from>
    <xdr:ext cx="375377" cy="317258"/>
    <xdr:pic>
      <xdr:nvPicPr>
        <xdr:cNvPr id="84" name="Grafik 83">
          <a:extLst>
            <a:ext uri="{FF2B5EF4-FFF2-40B4-BE49-F238E27FC236}">
              <a16:creationId xmlns:a16="http://schemas.microsoft.com/office/drawing/2014/main" id="{00000000-0008-0000-0D00-00005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20</xdr:col>
      <xdr:colOff>43133</xdr:colOff>
      <xdr:row>59</xdr:row>
      <xdr:rowOff>14374</xdr:rowOff>
    </xdr:from>
    <xdr:ext cx="375377" cy="317258"/>
    <xdr:pic>
      <xdr:nvPicPr>
        <xdr:cNvPr id="85" name="Grafik 84">
          <a:extLst>
            <a:ext uri="{FF2B5EF4-FFF2-40B4-BE49-F238E27FC236}">
              <a16:creationId xmlns:a16="http://schemas.microsoft.com/office/drawing/2014/main" id="{00000000-0008-0000-0D00-000055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919" t="20317" r="27129" b="42905"/>
        <a:stretch/>
      </xdr:blipFill>
      <xdr:spPr>
        <a:xfrm>
          <a:off x="3675333" y="179474"/>
          <a:ext cx="375377" cy="317258"/>
        </a:xfrm>
        <a:prstGeom prst="rect">
          <a:avLst/>
        </a:prstGeom>
      </xdr:spPr>
    </xdr:pic>
    <xdr:clientData/>
  </xdr:oneCellAnchor>
  <xdr:oneCellAnchor>
    <xdr:from>
      <xdr:col>22</xdr:col>
      <xdr:colOff>7191</xdr:colOff>
      <xdr:row>11</xdr:row>
      <xdr:rowOff>21565</xdr:rowOff>
    </xdr:from>
    <xdr:ext cx="566229" cy="572309"/>
    <xdr:pic>
      <xdr:nvPicPr>
        <xdr:cNvPr id="87" name="Grafik 86">
          <a:extLst>
            <a:ext uri="{FF2B5EF4-FFF2-40B4-BE49-F238E27FC236}">
              <a16:creationId xmlns:a16="http://schemas.microsoft.com/office/drawing/2014/main" id="{00000000-0008-0000-0D00-00005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19</xdr:row>
      <xdr:rowOff>21565</xdr:rowOff>
    </xdr:from>
    <xdr:ext cx="566229" cy="572309"/>
    <xdr:pic>
      <xdr:nvPicPr>
        <xdr:cNvPr id="88" name="Grafik 87">
          <a:extLst>
            <a:ext uri="{FF2B5EF4-FFF2-40B4-BE49-F238E27FC236}">
              <a16:creationId xmlns:a16="http://schemas.microsoft.com/office/drawing/2014/main" id="{00000000-0008-0000-0D00-00005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27</xdr:row>
      <xdr:rowOff>21565</xdr:rowOff>
    </xdr:from>
    <xdr:ext cx="566229" cy="572309"/>
    <xdr:pic>
      <xdr:nvPicPr>
        <xdr:cNvPr id="89" name="Grafik 88">
          <a:extLst>
            <a:ext uri="{FF2B5EF4-FFF2-40B4-BE49-F238E27FC236}">
              <a16:creationId xmlns:a16="http://schemas.microsoft.com/office/drawing/2014/main" id="{00000000-0008-0000-0D00-00005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35</xdr:row>
      <xdr:rowOff>21565</xdr:rowOff>
    </xdr:from>
    <xdr:ext cx="566229" cy="572309"/>
    <xdr:pic>
      <xdr:nvPicPr>
        <xdr:cNvPr id="90" name="Grafik 89">
          <a:extLst>
            <a:ext uri="{FF2B5EF4-FFF2-40B4-BE49-F238E27FC236}">
              <a16:creationId xmlns:a16="http://schemas.microsoft.com/office/drawing/2014/main" id="{00000000-0008-0000-0D00-00005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43</xdr:row>
      <xdr:rowOff>21565</xdr:rowOff>
    </xdr:from>
    <xdr:ext cx="566229" cy="572309"/>
    <xdr:pic>
      <xdr:nvPicPr>
        <xdr:cNvPr id="92" name="Grafik 91">
          <a:extLst>
            <a:ext uri="{FF2B5EF4-FFF2-40B4-BE49-F238E27FC236}">
              <a16:creationId xmlns:a16="http://schemas.microsoft.com/office/drawing/2014/main" id="{00000000-0008-0000-0D00-00005C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51</xdr:row>
      <xdr:rowOff>21565</xdr:rowOff>
    </xdr:from>
    <xdr:ext cx="566229" cy="572309"/>
    <xdr:pic>
      <xdr:nvPicPr>
        <xdr:cNvPr id="93" name="Grafik 92">
          <a:extLst>
            <a:ext uri="{FF2B5EF4-FFF2-40B4-BE49-F238E27FC236}">
              <a16:creationId xmlns:a16="http://schemas.microsoft.com/office/drawing/2014/main" id="{00000000-0008-0000-0D00-00005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22</xdr:col>
      <xdr:colOff>7191</xdr:colOff>
      <xdr:row>59</xdr:row>
      <xdr:rowOff>21565</xdr:rowOff>
    </xdr:from>
    <xdr:ext cx="566229" cy="572309"/>
    <xdr:pic>
      <xdr:nvPicPr>
        <xdr:cNvPr id="94" name="Grafik 93">
          <a:extLst>
            <a:ext uri="{FF2B5EF4-FFF2-40B4-BE49-F238E27FC236}">
              <a16:creationId xmlns:a16="http://schemas.microsoft.com/office/drawing/2014/main" id="{00000000-0008-0000-0D00-00005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71" t="7790" r="8290" b="9309"/>
        <a:stretch/>
      </xdr:blipFill>
      <xdr:spPr>
        <a:xfrm>
          <a:off x="4033091" y="186665"/>
          <a:ext cx="566229" cy="572309"/>
        </a:xfrm>
        <a:prstGeom prst="rect">
          <a:avLst/>
        </a:prstGeom>
      </xdr:spPr>
    </xdr:pic>
    <xdr:clientData/>
  </xdr:oneCellAnchor>
  <xdr:oneCellAnchor>
    <xdr:from>
      <xdr:col>51</xdr:col>
      <xdr:colOff>130659</xdr:colOff>
      <xdr:row>28</xdr:row>
      <xdr:rowOff>12314</xdr:rowOff>
    </xdr:from>
    <xdr:ext cx="410186" cy="410186"/>
    <xdr:pic>
      <xdr:nvPicPr>
        <xdr:cNvPr id="72" name="Grafik 15" descr="Piktogramme Brauerei.png">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9766495" y="3025678"/>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54</xdr:col>
      <xdr:colOff>133429</xdr:colOff>
      <xdr:row>28</xdr:row>
      <xdr:rowOff>38075</xdr:rowOff>
    </xdr:from>
    <xdr:ext cx="402567" cy="425426"/>
    <xdr:pic>
      <xdr:nvPicPr>
        <xdr:cNvPr id="73" name="Grafik 16" descr="Piktogramme Brauerei.png">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10413502" y="3051439"/>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55</xdr:col>
      <xdr:colOff>136201</xdr:colOff>
      <xdr:row>28</xdr:row>
      <xdr:rowOff>5124</xdr:rowOff>
    </xdr:from>
    <xdr:ext cx="410186" cy="451449"/>
    <xdr:pic>
      <xdr:nvPicPr>
        <xdr:cNvPr id="74" name="Grafik 17" descr="Piktogramme Brauerei.png">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11053583" y="3018488"/>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56</xdr:col>
      <xdr:colOff>111529</xdr:colOff>
      <xdr:row>28</xdr:row>
      <xdr:rowOff>6928</xdr:rowOff>
    </xdr:from>
    <xdr:to>
      <xdr:col>56</xdr:col>
      <xdr:colOff>561529</xdr:colOff>
      <xdr:row>33</xdr:row>
      <xdr:rowOff>13583</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666220" y="3020292"/>
          <a:ext cx="450000" cy="450000"/>
        </a:xfrm>
        <a:prstGeom prst="rect">
          <a:avLst/>
        </a:prstGeom>
      </xdr:spPr>
    </xdr:pic>
    <xdr:clientData/>
  </xdr:twoCellAnchor>
  <xdr:twoCellAnchor editAs="oneCell">
    <xdr:from>
      <xdr:col>51</xdr:col>
      <xdr:colOff>120213</xdr:colOff>
      <xdr:row>35</xdr:row>
      <xdr:rowOff>302401</xdr:rowOff>
    </xdr:from>
    <xdr:to>
      <xdr:col>53</xdr:col>
      <xdr:colOff>140722</xdr:colOff>
      <xdr:row>41</xdr:row>
      <xdr:rowOff>4256</xdr:rowOff>
    </xdr:to>
    <xdr:pic>
      <xdr:nvPicPr>
        <xdr:cNvPr id="8" name="Grafik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756049" y="3856092"/>
          <a:ext cx="450000" cy="450000"/>
        </a:xfrm>
        <a:prstGeom prst="rect">
          <a:avLst/>
        </a:prstGeom>
      </xdr:spPr>
    </xdr:pic>
    <xdr:clientData/>
  </xdr:twoCellAnchor>
  <xdr:twoCellAnchor editAs="oneCell">
    <xdr:from>
      <xdr:col>55</xdr:col>
      <xdr:colOff>82855</xdr:colOff>
      <xdr:row>36</xdr:row>
      <xdr:rowOff>6656</xdr:rowOff>
    </xdr:from>
    <xdr:to>
      <xdr:col>55</xdr:col>
      <xdr:colOff>532855</xdr:colOff>
      <xdr:row>41</xdr:row>
      <xdr:rowOff>13311</xdr:rowOff>
    </xdr:to>
    <xdr:pic>
      <xdr:nvPicPr>
        <xdr:cNvPr id="12" name="Grafik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1000237" y="3865147"/>
          <a:ext cx="450000" cy="450000"/>
        </a:xfrm>
        <a:prstGeom prst="rect">
          <a:avLst/>
        </a:prstGeom>
      </xdr:spPr>
    </xdr:pic>
    <xdr:clientData/>
  </xdr:twoCellAnchor>
  <xdr:twoCellAnchor editAs="oneCell">
    <xdr:from>
      <xdr:col>54</xdr:col>
      <xdr:colOff>101236</xdr:colOff>
      <xdr:row>36</xdr:row>
      <xdr:rowOff>4255</xdr:rowOff>
    </xdr:from>
    <xdr:to>
      <xdr:col>54</xdr:col>
      <xdr:colOff>551236</xdr:colOff>
      <xdr:row>41</xdr:row>
      <xdr:rowOff>10910</xdr:rowOff>
    </xdr:to>
    <xdr:pic>
      <xdr:nvPicPr>
        <xdr:cNvPr id="14" name="Grafik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0381309" y="3862746"/>
          <a:ext cx="450000" cy="45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44</xdr:col>
      <xdr:colOff>56356</xdr:colOff>
      <xdr:row>7</xdr:row>
      <xdr:rowOff>25400</xdr:rowOff>
    </xdr:from>
    <xdr:to>
      <xdr:col>48</xdr:col>
      <xdr:colOff>717550</xdr:colOff>
      <xdr:row>33</xdr:row>
      <xdr:rowOff>120650</xdr:rowOff>
    </xdr:to>
    <xdr:pic>
      <xdr:nvPicPr>
        <xdr:cNvPr id="3" name="Grafik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058" b="4040"/>
        <a:stretch/>
      </xdr:blipFill>
      <xdr:spPr>
        <a:xfrm>
          <a:off x="7003256" y="939800"/>
          <a:ext cx="2667794" cy="4216400"/>
        </a:xfrm>
        <a:prstGeom prst="rect">
          <a:avLst/>
        </a:prstGeom>
      </xdr:spPr>
    </xdr:pic>
    <xdr:clientData/>
  </xdr:twoCellAnchor>
  <xdr:oneCellAnchor>
    <xdr:from>
      <xdr:col>16</xdr:col>
      <xdr:colOff>40263</xdr:colOff>
      <xdr:row>13</xdr:row>
      <xdr:rowOff>168897</xdr:rowOff>
    </xdr:from>
    <xdr:ext cx="522327" cy="536872"/>
    <xdr:pic>
      <xdr:nvPicPr>
        <xdr:cNvPr id="16" name="Grafik 15">
          <a:extLst>
            <a:ext uri="{FF2B5EF4-FFF2-40B4-BE49-F238E27FC236}">
              <a16:creationId xmlns:a16="http://schemas.microsoft.com/office/drawing/2014/main" id="{00000000-0008-0000-0E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2783463" y="2203437"/>
          <a:ext cx="522327" cy="536872"/>
        </a:xfrm>
        <a:prstGeom prst="rect">
          <a:avLst/>
        </a:prstGeom>
      </xdr:spPr>
    </xdr:pic>
    <xdr:clientData/>
  </xdr:oneCellAnchor>
  <xdr:oneCellAnchor>
    <xdr:from>
      <xdr:col>15</xdr:col>
      <xdr:colOff>169394</xdr:colOff>
      <xdr:row>11</xdr:row>
      <xdr:rowOff>63501</xdr:rowOff>
    </xdr:from>
    <xdr:ext cx="637387" cy="485139"/>
    <xdr:pic>
      <xdr:nvPicPr>
        <xdr:cNvPr id="17" name="Grafik 16">
          <a:extLst>
            <a:ext uri="{FF2B5EF4-FFF2-40B4-BE49-F238E27FC236}">
              <a16:creationId xmlns:a16="http://schemas.microsoft.com/office/drawing/2014/main" id="{00000000-0008-0000-0E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2714474" y="1709421"/>
          <a:ext cx="637387" cy="485139"/>
        </a:xfrm>
        <a:prstGeom prst="rect">
          <a:avLst/>
        </a:prstGeom>
      </xdr:spPr>
    </xdr:pic>
    <xdr:clientData/>
  </xdr:oneCellAnchor>
  <xdr:oneCellAnchor>
    <xdr:from>
      <xdr:col>37</xdr:col>
      <xdr:colOff>40263</xdr:colOff>
      <xdr:row>13</xdr:row>
      <xdr:rowOff>168897</xdr:rowOff>
    </xdr:from>
    <xdr:ext cx="522327" cy="536872"/>
    <xdr:pic>
      <xdr:nvPicPr>
        <xdr:cNvPr id="20" name="Grafik 19">
          <a:extLst>
            <a:ext uri="{FF2B5EF4-FFF2-40B4-BE49-F238E27FC236}">
              <a16:creationId xmlns:a16="http://schemas.microsoft.com/office/drawing/2014/main" id="{00000000-0008-0000-0E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6166743" y="2203437"/>
          <a:ext cx="522327" cy="536872"/>
        </a:xfrm>
        <a:prstGeom prst="rect">
          <a:avLst/>
        </a:prstGeom>
      </xdr:spPr>
    </xdr:pic>
    <xdr:clientData/>
  </xdr:oneCellAnchor>
  <xdr:oneCellAnchor>
    <xdr:from>
      <xdr:col>36</xdr:col>
      <xdr:colOff>169394</xdr:colOff>
      <xdr:row>11</xdr:row>
      <xdr:rowOff>63501</xdr:rowOff>
    </xdr:from>
    <xdr:ext cx="637387" cy="485139"/>
    <xdr:pic>
      <xdr:nvPicPr>
        <xdr:cNvPr id="24" name="Grafik 23">
          <a:extLst>
            <a:ext uri="{FF2B5EF4-FFF2-40B4-BE49-F238E27FC236}">
              <a16:creationId xmlns:a16="http://schemas.microsoft.com/office/drawing/2014/main" id="{00000000-0008-0000-0E00-00001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6097754" y="1709421"/>
          <a:ext cx="637387" cy="485139"/>
        </a:xfrm>
        <a:prstGeom prst="rect">
          <a:avLst/>
        </a:prstGeom>
      </xdr:spPr>
    </xdr:pic>
    <xdr:clientData/>
  </xdr:oneCellAnchor>
  <xdr:oneCellAnchor>
    <xdr:from>
      <xdr:col>16</xdr:col>
      <xdr:colOff>40263</xdr:colOff>
      <xdr:row>32</xdr:row>
      <xdr:rowOff>168897</xdr:rowOff>
    </xdr:from>
    <xdr:ext cx="522327" cy="536872"/>
    <xdr:pic>
      <xdr:nvPicPr>
        <xdr:cNvPr id="25" name="Grafik 24">
          <a:extLst>
            <a:ext uri="{FF2B5EF4-FFF2-40B4-BE49-F238E27FC236}">
              <a16:creationId xmlns:a16="http://schemas.microsoft.com/office/drawing/2014/main" id="{00000000-0008-0000-0E00-00001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6166743" y="2203437"/>
          <a:ext cx="522327" cy="536872"/>
        </a:xfrm>
        <a:prstGeom prst="rect">
          <a:avLst/>
        </a:prstGeom>
      </xdr:spPr>
    </xdr:pic>
    <xdr:clientData/>
  </xdr:oneCellAnchor>
  <xdr:oneCellAnchor>
    <xdr:from>
      <xdr:col>37</xdr:col>
      <xdr:colOff>40263</xdr:colOff>
      <xdr:row>32</xdr:row>
      <xdr:rowOff>168897</xdr:rowOff>
    </xdr:from>
    <xdr:ext cx="522327" cy="536872"/>
    <xdr:pic>
      <xdr:nvPicPr>
        <xdr:cNvPr id="27" name="Grafik 26">
          <a:extLst>
            <a:ext uri="{FF2B5EF4-FFF2-40B4-BE49-F238E27FC236}">
              <a16:creationId xmlns:a16="http://schemas.microsoft.com/office/drawing/2014/main" id="{00000000-0008-0000-0E00-00001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6166743" y="2203437"/>
          <a:ext cx="522327" cy="536872"/>
        </a:xfrm>
        <a:prstGeom prst="rect">
          <a:avLst/>
        </a:prstGeom>
      </xdr:spPr>
    </xdr:pic>
    <xdr:clientData/>
  </xdr:oneCellAnchor>
  <xdr:oneCellAnchor>
    <xdr:from>
      <xdr:col>16</xdr:col>
      <xdr:colOff>40263</xdr:colOff>
      <xdr:row>51</xdr:row>
      <xdr:rowOff>168897</xdr:rowOff>
    </xdr:from>
    <xdr:ext cx="522327" cy="536872"/>
    <xdr:pic>
      <xdr:nvPicPr>
        <xdr:cNvPr id="29" name="Grafik 28">
          <a:extLst>
            <a:ext uri="{FF2B5EF4-FFF2-40B4-BE49-F238E27FC236}">
              <a16:creationId xmlns:a16="http://schemas.microsoft.com/office/drawing/2014/main" id="{00000000-0008-0000-0E00-00001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6166743" y="2203437"/>
          <a:ext cx="522327" cy="536872"/>
        </a:xfrm>
        <a:prstGeom prst="rect">
          <a:avLst/>
        </a:prstGeom>
      </xdr:spPr>
    </xdr:pic>
    <xdr:clientData/>
  </xdr:oneCellAnchor>
  <xdr:oneCellAnchor>
    <xdr:from>
      <xdr:col>37</xdr:col>
      <xdr:colOff>40263</xdr:colOff>
      <xdr:row>51</xdr:row>
      <xdr:rowOff>168897</xdr:rowOff>
    </xdr:from>
    <xdr:ext cx="522327" cy="536872"/>
    <xdr:pic>
      <xdr:nvPicPr>
        <xdr:cNvPr id="31" name="Grafik 30">
          <a:extLst>
            <a:ext uri="{FF2B5EF4-FFF2-40B4-BE49-F238E27FC236}">
              <a16:creationId xmlns:a16="http://schemas.microsoft.com/office/drawing/2014/main" id="{00000000-0008-0000-0E00-00001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71" t="7790" r="8290" b="9309"/>
        <a:stretch/>
      </xdr:blipFill>
      <xdr:spPr>
        <a:xfrm>
          <a:off x="6166743" y="2203437"/>
          <a:ext cx="522327" cy="536872"/>
        </a:xfrm>
        <a:prstGeom prst="rect">
          <a:avLst/>
        </a:prstGeom>
      </xdr:spPr>
    </xdr:pic>
    <xdr:clientData/>
  </xdr:oneCellAnchor>
  <xdr:oneCellAnchor>
    <xdr:from>
      <xdr:col>36</xdr:col>
      <xdr:colOff>169394</xdr:colOff>
      <xdr:row>49</xdr:row>
      <xdr:rowOff>63501</xdr:rowOff>
    </xdr:from>
    <xdr:ext cx="637387" cy="485139"/>
    <xdr:pic>
      <xdr:nvPicPr>
        <xdr:cNvPr id="32" name="Grafik 31">
          <a:extLst>
            <a:ext uri="{FF2B5EF4-FFF2-40B4-BE49-F238E27FC236}">
              <a16:creationId xmlns:a16="http://schemas.microsoft.com/office/drawing/2014/main" id="{00000000-0008-0000-0E00-000020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6097754" y="1709421"/>
          <a:ext cx="637387" cy="485139"/>
        </a:xfrm>
        <a:prstGeom prst="rect">
          <a:avLst/>
        </a:prstGeom>
      </xdr:spPr>
    </xdr:pic>
    <xdr:clientData/>
  </xdr:oneCellAnchor>
  <xdr:oneCellAnchor>
    <xdr:from>
      <xdr:col>15</xdr:col>
      <xdr:colOff>169394</xdr:colOff>
      <xdr:row>49</xdr:row>
      <xdr:rowOff>63501</xdr:rowOff>
    </xdr:from>
    <xdr:ext cx="637387" cy="485139"/>
    <xdr:pic>
      <xdr:nvPicPr>
        <xdr:cNvPr id="34" name="Grafik 33">
          <a:extLst>
            <a:ext uri="{FF2B5EF4-FFF2-40B4-BE49-F238E27FC236}">
              <a16:creationId xmlns:a16="http://schemas.microsoft.com/office/drawing/2014/main" id="{00000000-0008-0000-0E00-00002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6055844" y="7340601"/>
          <a:ext cx="637387" cy="485139"/>
        </a:xfrm>
        <a:prstGeom prst="rect">
          <a:avLst/>
        </a:prstGeom>
      </xdr:spPr>
    </xdr:pic>
    <xdr:clientData/>
  </xdr:oneCellAnchor>
  <xdr:oneCellAnchor>
    <xdr:from>
      <xdr:col>15</xdr:col>
      <xdr:colOff>169394</xdr:colOff>
      <xdr:row>30</xdr:row>
      <xdr:rowOff>63501</xdr:rowOff>
    </xdr:from>
    <xdr:ext cx="637387" cy="485139"/>
    <xdr:pic>
      <xdr:nvPicPr>
        <xdr:cNvPr id="35" name="Grafik 34">
          <a:extLst>
            <a:ext uri="{FF2B5EF4-FFF2-40B4-BE49-F238E27FC236}">
              <a16:creationId xmlns:a16="http://schemas.microsoft.com/office/drawing/2014/main" id="{00000000-0008-0000-0E00-00002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6055844" y="7340601"/>
          <a:ext cx="637387" cy="485139"/>
        </a:xfrm>
        <a:prstGeom prst="rect">
          <a:avLst/>
        </a:prstGeom>
      </xdr:spPr>
    </xdr:pic>
    <xdr:clientData/>
  </xdr:oneCellAnchor>
  <xdr:oneCellAnchor>
    <xdr:from>
      <xdr:col>36</xdr:col>
      <xdr:colOff>169394</xdr:colOff>
      <xdr:row>30</xdr:row>
      <xdr:rowOff>63501</xdr:rowOff>
    </xdr:from>
    <xdr:ext cx="637387" cy="485139"/>
    <xdr:pic>
      <xdr:nvPicPr>
        <xdr:cNvPr id="36" name="Grafik 35">
          <a:extLst>
            <a:ext uri="{FF2B5EF4-FFF2-40B4-BE49-F238E27FC236}">
              <a16:creationId xmlns:a16="http://schemas.microsoft.com/office/drawing/2014/main" id="{00000000-0008-0000-0E00-00002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6010" t="20673" r="27410" b="44077"/>
        <a:stretch/>
      </xdr:blipFill>
      <xdr:spPr>
        <a:xfrm>
          <a:off x="6055844" y="7340601"/>
          <a:ext cx="637387" cy="48513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1</xdr:col>
      <xdr:colOff>485775</xdr:colOff>
      <xdr:row>0</xdr:row>
      <xdr:rowOff>666750</xdr:rowOff>
    </xdr:to>
    <xdr:pic>
      <xdr:nvPicPr>
        <xdr:cNvPr id="773921" name="Grafik 207" descr="004_EBC_Willi_Schatten.gif">
          <a:extLst>
            <a:ext uri="{FF2B5EF4-FFF2-40B4-BE49-F238E27FC236}">
              <a16:creationId xmlns:a16="http://schemas.microsoft.com/office/drawing/2014/main" id="{00000000-0008-0000-1000-000021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19050"/>
          <a:ext cx="466725" cy="647700"/>
        </a:xfrm>
        <a:prstGeom prst="rect">
          <a:avLst/>
        </a:prstGeom>
        <a:noFill/>
        <a:ln w="9525">
          <a:noFill/>
          <a:miter lim="800000"/>
          <a:headEnd/>
          <a:tailEnd/>
        </a:ln>
      </xdr:spPr>
    </xdr:pic>
    <xdr:clientData/>
  </xdr:twoCellAnchor>
  <xdr:twoCellAnchor editAs="oneCell">
    <xdr:from>
      <xdr:col>1</xdr:col>
      <xdr:colOff>19050</xdr:colOff>
      <xdr:row>1</xdr:row>
      <xdr:rowOff>19050</xdr:rowOff>
    </xdr:from>
    <xdr:to>
      <xdr:col>1</xdr:col>
      <xdr:colOff>485775</xdr:colOff>
      <xdr:row>1</xdr:row>
      <xdr:rowOff>666750</xdr:rowOff>
    </xdr:to>
    <xdr:pic>
      <xdr:nvPicPr>
        <xdr:cNvPr id="773922" name="Grafik 208" descr="004_EBC_Willi_Schatten.gif">
          <a:extLst>
            <a:ext uri="{FF2B5EF4-FFF2-40B4-BE49-F238E27FC236}">
              <a16:creationId xmlns:a16="http://schemas.microsoft.com/office/drawing/2014/main" id="{00000000-0008-0000-1000-000022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695325"/>
          <a:ext cx="466725" cy="647700"/>
        </a:xfrm>
        <a:prstGeom prst="rect">
          <a:avLst/>
        </a:prstGeom>
        <a:noFill/>
        <a:ln w="9525">
          <a:noFill/>
          <a:miter lim="800000"/>
          <a:headEnd/>
          <a:tailEnd/>
        </a:ln>
      </xdr:spPr>
    </xdr:pic>
    <xdr:clientData/>
  </xdr:twoCellAnchor>
  <xdr:twoCellAnchor editAs="oneCell">
    <xdr:from>
      <xdr:col>1</xdr:col>
      <xdr:colOff>19050</xdr:colOff>
      <xdr:row>2</xdr:row>
      <xdr:rowOff>19050</xdr:rowOff>
    </xdr:from>
    <xdr:to>
      <xdr:col>1</xdr:col>
      <xdr:colOff>485775</xdr:colOff>
      <xdr:row>2</xdr:row>
      <xdr:rowOff>666750</xdr:rowOff>
    </xdr:to>
    <xdr:pic>
      <xdr:nvPicPr>
        <xdr:cNvPr id="773923" name="Grafik 209" descr="004_EBC_Willi_Schatten.gif">
          <a:extLst>
            <a:ext uri="{FF2B5EF4-FFF2-40B4-BE49-F238E27FC236}">
              <a16:creationId xmlns:a16="http://schemas.microsoft.com/office/drawing/2014/main" id="{00000000-0008-0000-1000-000023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1371600"/>
          <a:ext cx="466725" cy="647700"/>
        </a:xfrm>
        <a:prstGeom prst="rect">
          <a:avLst/>
        </a:prstGeom>
        <a:noFill/>
        <a:ln w="9525">
          <a:noFill/>
          <a:miter lim="800000"/>
          <a:headEnd/>
          <a:tailEnd/>
        </a:ln>
      </xdr:spPr>
    </xdr:pic>
    <xdr:clientData/>
  </xdr:twoCellAnchor>
  <xdr:twoCellAnchor editAs="oneCell">
    <xdr:from>
      <xdr:col>1</xdr:col>
      <xdr:colOff>19050</xdr:colOff>
      <xdr:row>3</xdr:row>
      <xdr:rowOff>19050</xdr:rowOff>
    </xdr:from>
    <xdr:to>
      <xdr:col>1</xdr:col>
      <xdr:colOff>485775</xdr:colOff>
      <xdr:row>3</xdr:row>
      <xdr:rowOff>666750</xdr:rowOff>
    </xdr:to>
    <xdr:pic>
      <xdr:nvPicPr>
        <xdr:cNvPr id="773924" name="Grafik 210" descr="004_EBC_Willi_Schatten.gif">
          <a:extLst>
            <a:ext uri="{FF2B5EF4-FFF2-40B4-BE49-F238E27FC236}">
              <a16:creationId xmlns:a16="http://schemas.microsoft.com/office/drawing/2014/main" id="{00000000-0008-0000-1000-000024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2047875"/>
          <a:ext cx="466725" cy="647700"/>
        </a:xfrm>
        <a:prstGeom prst="rect">
          <a:avLst/>
        </a:prstGeom>
        <a:noFill/>
        <a:ln w="9525">
          <a:noFill/>
          <a:miter lim="800000"/>
          <a:headEnd/>
          <a:tailEnd/>
        </a:ln>
      </xdr:spPr>
    </xdr:pic>
    <xdr:clientData/>
  </xdr:twoCellAnchor>
  <xdr:twoCellAnchor editAs="oneCell">
    <xdr:from>
      <xdr:col>1</xdr:col>
      <xdr:colOff>19050</xdr:colOff>
      <xdr:row>4</xdr:row>
      <xdr:rowOff>19050</xdr:rowOff>
    </xdr:from>
    <xdr:to>
      <xdr:col>1</xdr:col>
      <xdr:colOff>485775</xdr:colOff>
      <xdr:row>4</xdr:row>
      <xdr:rowOff>666750</xdr:rowOff>
    </xdr:to>
    <xdr:pic>
      <xdr:nvPicPr>
        <xdr:cNvPr id="773925" name="Grafik 211" descr="005_EBC_Willi_Schatten.gif">
          <a:extLst>
            <a:ext uri="{FF2B5EF4-FFF2-40B4-BE49-F238E27FC236}">
              <a16:creationId xmlns:a16="http://schemas.microsoft.com/office/drawing/2014/main" id="{00000000-0008-0000-1000-000025CF0B00}"/>
            </a:ext>
          </a:extLst>
        </xdr:cNvPr>
        <xdr:cNvPicPr>
          <a:picLocks noChangeAspect="1"/>
        </xdr:cNvPicPr>
      </xdr:nvPicPr>
      <xdr:blipFill>
        <a:blip xmlns:r="http://schemas.openxmlformats.org/officeDocument/2006/relationships" r:embed="rId2" cstate="print"/>
        <a:srcRect/>
        <a:stretch>
          <a:fillRect/>
        </a:stretch>
      </xdr:blipFill>
      <xdr:spPr bwMode="auto">
        <a:xfrm>
          <a:off x="781050" y="2724150"/>
          <a:ext cx="466725" cy="647700"/>
        </a:xfrm>
        <a:prstGeom prst="rect">
          <a:avLst/>
        </a:prstGeom>
        <a:noFill/>
        <a:ln w="9525">
          <a:noFill/>
          <a:miter lim="800000"/>
          <a:headEnd/>
          <a:tailEnd/>
        </a:ln>
      </xdr:spPr>
    </xdr:pic>
    <xdr:clientData/>
  </xdr:twoCellAnchor>
  <xdr:twoCellAnchor editAs="oneCell">
    <xdr:from>
      <xdr:col>1</xdr:col>
      <xdr:colOff>19050</xdr:colOff>
      <xdr:row>5</xdr:row>
      <xdr:rowOff>19050</xdr:rowOff>
    </xdr:from>
    <xdr:to>
      <xdr:col>1</xdr:col>
      <xdr:colOff>485775</xdr:colOff>
      <xdr:row>5</xdr:row>
      <xdr:rowOff>666750</xdr:rowOff>
    </xdr:to>
    <xdr:pic>
      <xdr:nvPicPr>
        <xdr:cNvPr id="773926" name="Grafik 212" descr="006_EBC_Willi_Schatten.gif">
          <a:extLst>
            <a:ext uri="{FF2B5EF4-FFF2-40B4-BE49-F238E27FC236}">
              <a16:creationId xmlns:a16="http://schemas.microsoft.com/office/drawing/2014/main" id="{00000000-0008-0000-1000-000026CF0B00}"/>
            </a:ext>
          </a:extLst>
        </xdr:cNvPr>
        <xdr:cNvPicPr>
          <a:picLocks noChangeAspect="1"/>
        </xdr:cNvPicPr>
      </xdr:nvPicPr>
      <xdr:blipFill>
        <a:blip xmlns:r="http://schemas.openxmlformats.org/officeDocument/2006/relationships" r:embed="rId3" cstate="print"/>
        <a:srcRect/>
        <a:stretch>
          <a:fillRect/>
        </a:stretch>
      </xdr:blipFill>
      <xdr:spPr bwMode="auto">
        <a:xfrm>
          <a:off x="781050" y="3400425"/>
          <a:ext cx="466725" cy="647700"/>
        </a:xfrm>
        <a:prstGeom prst="rect">
          <a:avLst/>
        </a:prstGeom>
        <a:noFill/>
        <a:ln w="9525">
          <a:noFill/>
          <a:miter lim="800000"/>
          <a:headEnd/>
          <a:tailEnd/>
        </a:ln>
      </xdr:spPr>
    </xdr:pic>
    <xdr:clientData/>
  </xdr:twoCellAnchor>
  <xdr:twoCellAnchor editAs="oneCell">
    <xdr:from>
      <xdr:col>1</xdr:col>
      <xdr:colOff>19050</xdr:colOff>
      <xdr:row>7</xdr:row>
      <xdr:rowOff>19050</xdr:rowOff>
    </xdr:from>
    <xdr:to>
      <xdr:col>1</xdr:col>
      <xdr:colOff>485775</xdr:colOff>
      <xdr:row>7</xdr:row>
      <xdr:rowOff>666750</xdr:rowOff>
    </xdr:to>
    <xdr:pic>
      <xdr:nvPicPr>
        <xdr:cNvPr id="773927" name="Grafik 213" descr="008_EBC_Willi_Schatten.gif">
          <a:extLst>
            <a:ext uri="{FF2B5EF4-FFF2-40B4-BE49-F238E27FC236}">
              <a16:creationId xmlns:a16="http://schemas.microsoft.com/office/drawing/2014/main" id="{00000000-0008-0000-1000-000027CF0B00}"/>
            </a:ext>
          </a:extLst>
        </xdr:cNvPr>
        <xdr:cNvPicPr>
          <a:picLocks noChangeAspect="1"/>
        </xdr:cNvPicPr>
      </xdr:nvPicPr>
      <xdr:blipFill>
        <a:blip xmlns:r="http://schemas.openxmlformats.org/officeDocument/2006/relationships" r:embed="rId4" cstate="print"/>
        <a:srcRect/>
        <a:stretch>
          <a:fillRect/>
        </a:stretch>
      </xdr:blipFill>
      <xdr:spPr bwMode="auto">
        <a:xfrm>
          <a:off x="781050" y="4752975"/>
          <a:ext cx="466725" cy="647700"/>
        </a:xfrm>
        <a:prstGeom prst="rect">
          <a:avLst/>
        </a:prstGeom>
        <a:noFill/>
        <a:ln w="9525">
          <a:noFill/>
          <a:miter lim="800000"/>
          <a:headEnd/>
          <a:tailEnd/>
        </a:ln>
      </xdr:spPr>
    </xdr:pic>
    <xdr:clientData/>
  </xdr:twoCellAnchor>
  <xdr:twoCellAnchor editAs="oneCell">
    <xdr:from>
      <xdr:col>1</xdr:col>
      <xdr:colOff>19050</xdr:colOff>
      <xdr:row>6</xdr:row>
      <xdr:rowOff>19050</xdr:rowOff>
    </xdr:from>
    <xdr:to>
      <xdr:col>1</xdr:col>
      <xdr:colOff>485775</xdr:colOff>
      <xdr:row>6</xdr:row>
      <xdr:rowOff>666750</xdr:rowOff>
    </xdr:to>
    <xdr:pic>
      <xdr:nvPicPr>
        <xdr:cNvPr id="773928" name="Grafik 214" descr="006_EBC_Willi_Schatten.gif">
          <a:extLst>
            <a:ext uri="{FF2B5EF4-FFF2-40B4-BE49-F238E27FC236}">
              <a16:creationId xmlns:a16="http://schemas.microsoft.com/office/drawing/2014/main" id="{00000000-0008-0000-1000-000028CF0B00}"/>
            </a:ext>
          </a:extLst>
        </xdr:cNvPr>
        <xdr:cNvPicPr>
          <a:picLocks noChangeAspect="1"/>
        </xdr:cNvPicPr>
      </xdr:nvPicPr>
      <xdr:blipFill>
        <a:blip xmlns:r="http://schemas.openxmlformats.org/officeDocument/2006/relationships" r:embed="rId3" cstate="print"/>
        <a:srcRect/>
        <a:stretch>
          <a:fillRect/>
        </a:stretch>
      </xdr:blipFill>
      <xdr:spPr bwMode="auto">
        <a:xfrm>
          <a:off x="781050" y="4076700"/>
          <a:ext cx="466725" cy="647700"/>
        </a:xfrm>
        <a:prstGeom prst="rect">
          <a:avLst/>
        </a:prstGeom>
        <a:noFill/>
        <a:ln w="9525">
          <a:noFill/>
          <a:miter lim="800000"/>
          <a:headEnd/>
          <a:tailEnd/>
        </a:ln>
      </xdr:spPr>
    </xdr:pic>
    <xdr:clientData/>
  </xdr:twoCellAnchor>
  <xdr:twoCellAnchor editAs="oneCell">
    <xdr:from>
      <xdr:col>1</xdr:col>
      <xdr:colOff>19050</xdr:colOff>
      <xdr:row>9</xdr:row>
      <xdr:rowOff>19050</xdr:rowOff>
    </xdr:from>
    <xdr:to>
      <xdr:col>1</xdr:col>
      <xdr:colOff>485775</xdr:colOff>
      <xdr:row>9</xdr:row>
      <xdr:rowOff>666750</xdr:rowOff>
    </xdr:to>
    <xdr:pic>
      <xdr:nvPicPr>
        <xdr:cNvPr id="773929" name="Grafik 215" descr="010_EBC_Willi_Schatten.gif">
          <a:extLst>
            <a:ext uri="{FF2B5EF4-FFF2-40B4-BE49-F238E27FC236}">
              <a16:creationId xmlns:a16="http://schemas.microsoft.com/office/drawing/2014/main" id="{00000000-0008-0000-1000-000029CF0B00}"/>
            </a:ext>
          </a:extLst>
        </xdr:cNvPr>
        <xdr:cNvPicPr>
          <a:picLocks noChangeAspect="1"/>
        </xdr:cNvPicPr>
      </xdr:nvPicPr>
      <xdr:blipFill>
        <a:blip xmlns:r="http://schemas.openxmlformats.org/officeDocument/2006/relationships" r:embed="rId5" cstate="print"/>
        <a:srcRect/>
        <a:stretch>
          <a:fillRect/>
        </a:stretch>
      </xdr:blipFill>
      <xdr:spPr bwMode="auto">
        <a:xfrm>
          <a:off x="781050" y="6105525"/>
          <a:ext cx="466725" cy="647700"/>
        </a:xfrm>
        <a:prstGeom prst="rect">
          <a:avLst/>
        </a:prstGeom>
        <a:noFill/>
        <a:ln w="9525">
          <a:noFill/>
          <a:miter lim="800000"/>
          <a:headEnd/>
          <a:tailEnd/>
        </a:ln>
      </xdr:spPr>
    </xdr:pic>
    <xdr:clientData/>
  </xdr:twoCellAnchor>
  <xdr:twoCellAnchor editAs="oneCell">
    <xdr:from>
      <xdr:col>1</xdr:col>
      <xdr:colOff>19050</xdr:colOff>
      <xdr:row>8</xdr:row>
      <xdr:rowOff>19050</xdr:rowOff>
    </xdr:from>
    <xdr:to>
      <xdr:col>1</xdr:col>
      <xdr:colOff>485775</xdr:colOff>
      <xdr:row>8</xdr:row>
      <xdr:rowOff>666750</xdr:rowOff>
    </xdr:to>
    <xdr:pic>
      <xdr:nvPicPr>
        <xdr:cNvPr id="773930" name="Grafik 216" descr="008_EBC_Willi_Schatten.gif">
          <a:extLst>
            <a:ext uri="{FF2B5EF4-FFF2-40B4-BE49-F238E27FC236}">
              <a16:creationId xmlns:a16="http://schemas.microsoft.com/office/drawing/2014/main" id="{00000000-0008-0000-1000-00002ACF0B00}"/>
            </a:ext>
          </a:extLst>
        </xdr:cNvPr>
        <xdr:cNvPicPr>
          <a:picLocks noChangeAspect="1"/>
        </xdr:cNvPicPr>
      </xdr:nvPicPr>
      <xdr:blipFill>
        <a:blip xmlns:r="http://schemas.openxmlformats.org/officeDocument/2006/relationships" r:embed="rId4" cstate="print"/>
        <a:srcRect/>
        <a:stretch>
          <a:fillRect/>
        </a:stretch>
      </xdr:blipFill>
      <xdr:spPr bwMode="auto">
        <a:xfrm>
          <a:off x="781050" y="5429250"/>
          <a:ext cx="466725" cy="647700"/>
        </a:xfrm>
        <a:prstGeom prst="rect">
          <a:avLst/>
        </a:prstGeom>
        <a:noFill/>
        <a:ln w="9525">
          <a:noFill/>
          <a:miter lim="800000"/>
          <a:headEnd/>
          <a:tailEnd/>
        </a:ln>
      </xdr:spPr>
    </xdr:pic>
    <xdr:clientData/>
  </xdr:twoCellAnchor>
  <xdr:twoCellAnchor editAs="oneCell">
    <xdr:from>
      <xdr:col>1</xdr:col>
      <xdr:colOff>19050</xdr:colOff>
      <xdr:row>11</xdr:row>
      <xdr:rowOff>19050</xdr:rowOff>
    </xdr:from>
    <xdr:to>
      <xdr:col>1</xdr:col>
      <xdr:colOff>485775</xdr:colOff>
      <xdr:row>11</xdr:row>
      <xdr:rowOff>666750</xdr:rowOff>
    </xdr:to>
    <xdr:pic>
      <xdr:nvPicPr>
        <xdr:cNvPr id="773931" name="Grafik 217" descr="012_EBC_Willi_Schatten.gif">
          <a:extLst>
            <a:ext uri="{FF2B5EF4-FFF2-40B4-BE49-F238E27FC236}">
              <a16:creationId xmlns:a16="http://schemas.microsoft.com/office/drawing/2014/main" id="{00000000-0008-0000-1000-00002B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7458075"/>
          <a:ext cx="466725" cy="647700"/>
        </a:xfrm>
        <a:prstGeom prst="rect">
          <a:avLst/>
        </a:prstGeom>
        <a:noFill/>
        <a:ln w="9525">
          <a:noFill/>
          <a:miter lim="800000"/>
          <a:headEnd/>
          <a:tailEnd/>
        </a:ln>
      </xdr:spPr>
    </xdr:pic>
    <xdr:clientData/>
  </xdr:twoCellAnchor>
  <xdr:twoCellAnchor editAs="oneCell">
    <xdr:from>
      <xdr:col>1</xdr:col>
      <xdr:colOff>19050</xdr:colOff>
      <xdr:row>10</xdr:row>
      <xdr:rowOff>19050</xdr:rowOff>
    </xdr:from>
    <xdr:to>
      <xdr:col>1</xdr:col>
      <xdr:colOff>485775</xdr:colOff>
      <xdr:row>10</xdr:row>
      <xdr:rowOff>666750</xdr:rowOff>
    </xdr:to>
    <xdr:pic>
      <xdr:nvPicPr>
        <xdr:cNvPr id="773932" name="Grafik 218" descr="010_EBC_Willi_Schatten.gif">
          <a:extLst>
            <a:ext uri="{FF2B5EF4-FFF2-40B4-BE49-F238E27FC236}">
              <a16:creationId xmlns:a16="http://schemas.microsoft.com/office/drawing/2014/main" id="{00000000-0008-0000-1000-00002CCF0B00}"/>
            </a:ext>
          </a:extLst>
        </xdr:cNvPr>
        <xdr:cNvPicPr>
          <a:picLocks noChangeAspect="1"/>
        </xdr:cNvPicPr>
      </xdr:nvPicPr>
      <xdr:blipFill>
        <a:blip xmlns:r="http://schemas.openxmlformats.org/officeDocument/2006/relationships" r:embed="rId5" cstate="print"/>
        <a:srcRect/>
        <a:stretch>
          <a:fillRect/>
        </a:stretch>
      </xdr:blipFill>
      <xdr:spPr bwMode="auto">
        <a:xfrm>
          <a:off x="781050" y="6781800"/>
          <a:ext cx="466725" cy="647700"/>
        </a:xfrm>
        <a:prstGeom prst="rect">
          <a:avLst/>
        </a:prstGeom>
        <a:noFill/>
        <a:ln w="9525">
          <a:noFill/>
          <a:miter lim="800000"/>
          <a:headEnd/>
          <a:tailEnd/>
        </a:ln>
      </xdr:spPr>
    </xdr:pic>
    <xdr:clientData/>
  </xdr:twoCellAnchor>
  <xdr:twoCellAnchor editAs="oneCell">
    <xdr:from>
      <xdr:col>1</xdr:col>
      <xdr:colOff>19050</xdr:colOff>
      <xdr:row>12</xdr:row>
      <xdr:rowOff>19050</xdr:rowOff>
    </xdr:from>
    <xdr:to>
      <xdr:col>1</xdr:col>
      <xdr:colOff>485775</xdr:colOff>
      <xdr:row>12</xdr:row>
      <xdr:rowOff>666750</xdr:rowOff>
    </xdr:to>
    <xdr:pic>
      <xdr:nvPicPr>
        <xdr:cNvPr id="773933" name="Grafik 219" descr="012_EBC_Willi_Schatten.gif">
          <a:extLst>
            <a:ext uri="{FF2B5EF4-FFF2-40B4-BE49-F238E27FC236}">
              <a16:creationId xmlns:a16="http://schemas.microsoft.com/office/drawing/2014/main" id="{00000000-0008-0000-1000-00002D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8134350"/>
          <a:ext cx="466725" cy="647700"/>
        </a:xfrm>
        <a:prstGeom prst="rect">
          <a:avLst/>
        </a:prstGeom>
        <a:noFill/>
        <a:ln w="9525">
          <a:noFill/>
          <a:miter lim="800000"/>
          <a:headEnd/>
          <a:tailEnd/>
        </a:ln>
      </xdr:spPr>
    </xdr:pic>
    <xdr:clientData/>
  </xdr:twoCellAnchor>
  <xdr:twoCellAnchor editAs="oneCell">
    <xdr:from>
      <xdr:col>1</xdr:col>
      <xdr:colOff>19050</xdr:colOff>
      <xdr:row>13</xdr:row>
      <xdr:rowOff>19050</xdr:rowOff>
    </xdr:from>
    <xdr:to>
      <xdr:col>1</xdr:col>
      <xdr:colOff>485775</xdr:colOff>
      <xdr:row>13</xdr:row>
      <xdr:rowOff>666750</xdr:rowOff>
    </xdr:to>
    <xdr:pic>
      <xdr:nvPicPr>
        <xdr:cNvPr id="773934" name="Grafik 220" descr="012_EBC_Willi_Schatten.gif">
          <a:extLst>
            <a:ext uri="{FF2B5EF4-FFF2-40B4-BE49-F238E27FC236}">
              <a16:creationId xmlns:a16="http://schemas.microsoft.com/office/drawing/2014/main" id="{00000000-0008-0000-1000-00002E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8810625"/>
          <a:ext cx="466725" cy="647700"/>
        </a:xfrm>
        <a:prstGeom prst="rect">
          <a:avLst/>
        </a:prstGeom>
        <a:noFill/>
        <a:ln w="9525">
          <a:noFill/>
          <a:miter lim="800000"/>
          <a:headEnd/>
          <a:tailEnd/>
        </a:ln>
      </xdr:spPr>
    </xdr:pic>
    <xdr:clientData/>
  </xdr:twoCellAnchor>
  <xdr:twoCellAnchor editAs="oneCell">
    <xdr:from>
      <xdr:col>1</xdr:col>
      <xdr:colOff>19050</xdr:colOff>
      <xdr:row>14</xdr:row>
      <xdr:rowOff>19050</xdr:rowOff>
    </xdr:from>
    <xdr:to>
      <xdr:col>1</xdr:col>
      <xdr:colOff>485775</xdr:colOff>
      <xdr:row>14</xdr:row>
      <xdr:rowOff>666750</xdr:rowOff>
    </xdr:to>
    <xdr:pic>
      <xdr:nvPicPr>
        <xdr:cNvPr id="773935" name="Grafik 221" descr="012_EBC_Willi_Schatten.gif">
          <a:extLst>
            <a:ext uri="{FF2B5EF4-FFF2-40B4-BE49-F238E27FC236}">
              <a16:creationId xmlns:a16="http://schemas.microsoft.com/office/drawing/2014/main" id="{00000000-0008-0000-1000-00002F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9486900"/>
          <a:ext cx="466725" cy="647700"/>
        </a:xfrm>
        <a:prstGeom prst="rect">
          <a:avLst/>
        </a:prstGeom>
        <a:noFill/>
        <a:ln w="9525">
          <a:noFill/>
          <a:miter lim="800000"/>
          <a:headEnd/>
          <a:tailEnd/>
        </a:ln>
      </xdr:spPr>
    </xdr:pic>
    <xdr:clientData/>
  </xdr:twoCellAnchor>
  <xdr:twoCellAnchor editAs="oneCell">
    <xdr:from>
      <xdr:col>1</xdr:col>
      <xdr:colOff>19050</xdr:colOff>
      <xdr:row>15</xdr:row>
      <xdr:rowOff>19050</xdr:rowOff>
    </xdr:from>
    <xdr:to>
      <xdr:col>1</xdr:col>
      <xdr:colOff>485775</xdr:colOff>
      <xdr:row>15</xdr:row>
      <xdr:rowOff>666750</xdr:rowOff>
    </xdr:to>
    <xdr:pic>
      <xdr:nvPicPr>
        <xdr:cNvPr id="773936" name="Grafik 222" descr="012_EBC_Willi_Schatten.gif">
          <a:extLst>
            <a:ext uri="{FF2B5EF4-FFF2-40B4-BE49-F238E27FC236}">
              <a16:creationId xmlns:a16="http://schemas.microsoft.com/office/drawing/2014/main" id="{00000000-0008-0000-1000-000030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10163175"/>
          <a:ext cx="466725" cy="647700"/>
        </a:xfrm>
        <a:prstGeom prst="rect">
          <a:avLst/>
        </a:prstGeom>
        <a:noFill/>
        <a:ln w="9525">
          <a:noFill/>
          <a:miter lim="800000"/>
          <a:headEnd/>
          <a:tailEnd/>
        </a:ln>
      </xdr:spPr>
    </xdr:pic>
    <xdr:clientData/>
  </xdr:twoCellAnchor>
  <xdr:twoCellAnchor editAs="oneCell">
    <xdr:from>
      <xdr:col>1</xdr:col>
      <xdr:colOff>19050</xdr:colOff>
      <xdr:row>16</xdr:row>
      <xdr:rowOff>19050</xdr:rowOff>
    </xdr:from>
    <xdr:to>
      <xdr:col>1</xdr:col>
      <xdr:colOff>485775</xdr:colOff>
      <xdr:row>16</xdr:row>
      <xdr:rowOff>666750</xdr:rowOff>
    </xdr:to>
    <xdr:pic>
      <xdr:nvPicPr>
        <xdr:cNvPr id="773937" name="Grafik 223" descr="012_EBC_Willi_Schatten.gif">
          <a:extLst>
            <a:ext uri="{FF2B5EF4-FFF2-40B4-BE49-F238E27FC236}">
              <a16:creationId xmlns:a16="http://schemas.microsoft.com/office/drawing/2014/main" id="{00000000-0008-0000-1000-000031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10839450"/>
          <a:ext cx="466725" cy="647700"/>
        </a:xfrm>
        <a:prstGeom prst="rect">
          <a:avLst/>
        </a:prstGeom>
        <a:noFill/>
        <a:ln w="9525">
          <a:noFill/>
          <a:miter lim="800000"/>
          <a:headEnd/>
          <a:tailEnd/>
        </a:ln>
      </xdr:spPr>
    </xdr:pic>
    <xdr:clientData/>
  </xdr:twoCellAnchor>
  <xdr:twoCellAnchor editAs="oneCell">
    <xdr:from>
      <xdr:col>1</xdr:col>
      <xdr:colOff>19050</xdr:colOff>
      <xdr:row>17</xdr:row>
      <xdr:rowOff>19050</xdr:rowOff>
    </xdr:from>
    <xdr:to>
      <xdr:col>1</xdr:col>
      <xdr:colOff>485775</xdr:colOff>
      <xdr:row>17</xdr:row>
      <xdr:rowOff>666750</xdr:rowOff>
    </xdr:to>
    <xdr:pic>
      <xdr:nvPicPr>
        <xdr:cNvPr id="773938" name="Grafik 224" descr="018_EBC_Willi_Schatten.gif">
          <a:extLst>
            <a:ext uri="{FF2B5EF4-FFF2-40B4-BE49-F238E27FC236}">
              <a16:creationId xmlns:a16="http://schemas.microsoft.com/office/drawing/2014/main" id="{00000000-0008-0000-1000-000032CF0B00}"/>
            </a:ext>
          </a:extLst>
        </xdr:cNvPr>
        <xdr:cNvPicPr>
          <a:picLocks noChangeAspect="1"/>
        </xdr:cNvPicPr>
      </xdr:nvPicPr>
      <xdr:blipFill>
        <a:blip xmlns:r="http://schemas.openxmlformats.org/officeDocument/2006/relationships" r:embed="rId7" cstate="print"/>
        <a:srcRect/>
        <a:stretch>
          <a:fillRect/>
        </a:stretch>
      </xdr:blipFill>
      <xdr:spPr bwMode="auto">
        <a:xfrm>
          <a:off x="781050" y="11515725"/>
          <a:ext cx="466725" cy="647700"/>
        </a:xfrm>
        <a:prstGeom prst="rect">
          <a:avLst/>
        </a:prstGeom>
        <a:noFill/>
        <a:ln w="9525">
          <a:noFill/>
          <a:miter lim="800000"/>
          <a:headEnd/>
          <a:tailEnd/>
        </a:ln>
      </xdr:spPr>
    </xdr:pic>
    <xdr:clientData/>
  </xdr:twoCellAnchor>
  <xdr:twoCellAnchor editAs="oneCell">
    <xdr:from>
      <xdr:col>1</xdr:col>
      <xdr:colOff>19050</xdr:colOff>
      <xdr:row>18</xdr:row>
      <xdr:rowOff>19050</xdr:rowOff>
    </xdr:from>
    <xdr:to>
      <xdr:col>1</xdr:col>
      <xdr:colOff>485775</xdr:colOff>
      <xdr:row>18</xdr:row>
      <xdr:rowOff>666750</xdr:rowOff>
    </xdr:to>
    <xdr:pic>
      <xdr:nvPicPr>
        <xdr:cNvPr id="773939" name="Grafik 225" descr="018_EBC_Willi_Schatten.gif">
          <a:extLst>
            <a:ext uri="{FF2B5EF4-FFF2-40B4-BE49-F238E27FC236}">
              <a16:creationId xmlns:a16="http://schemas.microsoft.com/office/drawing/2014/main" id="{00000000-0008-0000-1000-000033CF0B00}"/>
            </a:ext>
          </a:extLst>
        </xdr:cNvPr>
        <xdr:cNvPicPr>
          <a:picLocks noChangeAspect="1"/>
        </xdr:cNvPicPr>
      </xdr:nvPicPr>
      <xdr:blipFill>
        <a:blip xmlns:r="http://schemas.openxmlformats.org/officeDocument/2006/relationships" r:embed="rId7" cstate="print"/>
        <a:srcRect/>
        <a:stretch>
          <a:fillRect/>
        </a:stretch>
      </xdr:blipFill>
      <xdr:spPr bwMode="auto">
        <a:xfrm>
          <a:off x="781050" y="12192000"/>
          <a:ext cx="466725" cy="647700"/>
        </a:xfrm>
        <a:prstGeom prst="rect">
          <a:avLst/>
        </a:prstGeom>
        <a:noFill/>
        <a:ln w="9525">
          <a:noFill/>
          <a:miter lim="800000"/>
          <a:headEnd/>
          <a:tailEnd/>
        </a:ln>
      </xdr:spPr>
    </xdr:pic>
    <xdr:clientData/>
  </xdr:twoCellAnchor>
  <xdr:twoCellAnchor editAs="oneCell">
    <xdr:from>
      <xdr:col>1</xdr:col>
      <xdr:colOff>19050</xdr:colOff>
      <xdr:row>19</xdr:row>
      <xdr:rowOff>19050</xdr:rowOff>
    </xdr:from>
    <xdr:to>
      <xdr:col>1</xdr:col>
      <xdr:colOff>485775</xdr:colOff>
      <xdr:row>19</xdr:row>
      <xdr:rowOff>666750</xdr:rowOff>
    </xdr:to>
    <xdr:pic>
      <xdr:nvPicPr>
        <xdr:cNvPr id="773940" name="Grafik 226" descr="020_EBC_Willi_Schatten.gif">
          <a:extLst>
            <a:ext uri="{FF2B5EF4-FFF2-40B4-BE49-F238E27FC236}">
              <a16:creationId xmlns:a16="http://schemas.microsoft.com/office/drawing/2014/main" id="{00000000-0008-0000-1000-000034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2868275"/>
          <a:ext cx="466725" cy="647700"/>
        </a:xfrm>
        <a:prstGeom prst="rect">
          <a:avLst/>
        </a:prstGeom>
        <a:noFill/>
        <a:ln w="9525">
          <a:noFill/>
          <a:miter lim="800000"/>
          <a:headEnd/>
          <a:tailEnd/>
        </a:ln>
      </xdr:spPr>
    </xdr:pic>
    <xdr:clientData/>
  </xdr:twoCellAnchor>
  <xdr:twoCellAnchor editAs="oneCell">
    <xdr:from>
      <xdr:col>1</xdr:col>
      <xdr:colOff>19050</xdr:colOff>
      <xdr:row>20</xdr:row>
      <xdr:rowOff>19050</xdr:rowOff>
    </xdr:from>
    <xdr:to>
      <xdr:col>1</xdr:col>
      <xdr:colOff>485775</xdr:colOff>
      <xdr:row>20</xdr:row>
      <xdr:rowOff>666750</xdr:rowOff>
    </xdr:to>
    <xdr:pic>
      <xdr:nvPicPr>
        <xdr:cNvPr id="773941" name="Grafik 227" descr="020_EBC_Willi_Schatten.gif">
          <a:extLst>
            <a:ext uri="{FF2B5EF4-FFF2-40B4-BE49-F238E27FC236}">
              <a16:creationId xmlns:a16="http://schemas.microsoft.com/office/drawing/2014/main" id="{00000000-0008-0000-1000-000035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3544550"/>
          <a:ext cx="466725" cy="647700"/>
        </a:xfrm>
        <a:prstGeom prst="rect">
          <a:avLst/>
        </a:prstGeom>
        <a:noFill/>
        <a:ln w="9525">
          <a:noFill/>
          <a:miter lim="800000"/>
          <a:headEnd/>
          <a:tailEnd/>
        </a:ln>
      </xdr:spPr>
    </xdr:pic>
    <xdr:clientData/>
  </xdr:twoCellAnchor>
  <xdr:twoCellAnchor editAs="oneCell">
    <xdr:from>
      <xdr:col>1</xdr:col>
      <xdr:colOff>19050</xdr:colOff>
      <xdr:row>21</xdr:row>
      <xdr:rowOff>19050</xdr:rowOff>
    </xdr:from>
    <xdr:to>
      <xdr:col>1</xdr:col>
      <xdr:colOff>485775</xdr:colOff>
      <xdr:row>21</xdr:row>
      <xdr:rowOff>666750</xdr:rowOff>
    </xdr:to>
    <xdr:pic>
      <xdr:nvPicPr>
        <xdr:cNvPr id="773942" name="Grafik 228" descr="020_EBC_Willi_Schatten.gif">
          <a:extLst>
            <a:ext uri="{FF2B5EF4-FFF2-40B4-BE49-F238E27FC236}">
              <a16:creationId xmlns:a16="http://schemas.microsoft.com/office/drawing/2014/main" id="{00000000-0008-0000-1000-000036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4220825"/>
          <a:ext cx="466725" cy="647700"/>
        </a:xfrm>
        <a:prstGeom prst="rect">
          <a:avLst/>
        </a:prstGeom>
        <a:noFill/>
        <a:ln w="9525">
          <a:noFill/>
          <a:miter lim="800000"/>
          <a:headEnd/>
          <a:tailEnd/>
        </a:ln>
      </xdr:spPr>
    </xdr:pic>
    <xdr:clientData/>
  </xdr:twoCellAnchor>
  <xdr:twoCellAnchor editAs="oneCell">
    <xdr:from>
      <xdr:col>1</xdr:col>
      <xdr:colOff>19050</xdr:colOff>
      <xdr:row>22</xdr:row>
      <xdr:rowOff>19050</xdr:rowOff>
    </xdr:from>
    <xdr:to>
      <xdr:col>1</xdr:col>
      <xdr:colOff>485775</xdr:colOff>
      <xdr:row>22</xdr:row>
      <xdr:rowOff>666750</xdr:rowOff>
    </xdr:to>
    <xdr:pic>
      <xdr:nvPicPr>
        <xdr:cNvPr id="773943" name="Grafik 229" descr="020_EBC_Willi_Schatten.gif">
          <a:extLst>
            <a:ext uri="{FF2B5EF4-FFF2-40B4-BE49-F238E27FC236}">
              <a16:creationId xmlns:a16="http://schemas.microsoft.com/office/drawing/2014/main" id="{00000000-0008-0000-1000-000037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4897100"/>
          <a:ext cx="466725" cy="647700"/>
        </a:xfrm>
        <a:prstGeom prst="rect">
          <a:avLst/>
        </a:prstGeom>
        <a:noFill/>
        <a:ln w="9525">
          <a:noFill/>
          <a:miter lim="800000"/>
          <a:headEnd/>
          <a:tailEnd/>
        </a:ln>
      </xdr:spPr>
    </xdr:pic>
    <xdr:clientData/>
  </xdr:twoCellAnchor>
  <xdr:twoCellAnchor editAs="oneCell">
    <xdr:from>
      <xdr:col>1</xdr:col>
      <xdr:colOff>19050</xdr:colOff>
      <xdr:row>23</xdr:row>
      <xdr:rowOff>19050</xdr:rowOff>
    </xdr:from>
    <xdr:to>
      <xdr:col>1</xdr:col>
      <xdr:colOff>485775</xdr:colOff>
      <xdr:row>23</xdr:row>
      <xdr:rowOff>666750</xdr:rowOff>
    </xdr:to>
    <xdr:pic>
      <xdr:nvPicPr>
        <xdr:cNvPr id="773944" name="Grafik 230" descr="020_EBC_Willi_Schatten.gif">
          <a:extLst>
            <a:ext uri="{FF2B5EF4-FFF2-40B4-BE49-F238E27FC236}">
              <a16:creationId xmlns:a16="http://schemas.microsoft.com/office/drawing/2014/main" id="{00000000-0008-0000-1000-000038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5573375"/>
          <a:ext cx="466725" cy="647700"/>
        </a:xfrm>
        <a:prstGeom prst="rect">
          <a:avLst/>
        </a:prstGeom>
        <a:noFill/>
        <a:ln w="9525">
          <a:noFill/>
          <a:miter lim="800000"/>
          <a:headEnd/>
          <a:tailEnd/>
        </a:ln>
      </xdr:spPr>
    </xdr:pic>
    <xdr:clientData/>
  </xdr:twoCellAnchor>
  <xdr:twoCellAnchor editAs="oneCell">
    <xdr:from>
      <xdr:col>1</xdr:col>
      <xdr:colOff>19050</xdr:colOff>
      <xdr:row>24</xdr:row>
      <xdr:rowOff>19050</xdr:rowOff>
    </xdr:from>
    <xdr:to>
      <xdr:col>1</xdr:col>
      <xdr:colOff>485775</xdr:colOff>
      <xdr:row>24</xdr:row>
      <xdr:rowOff>666750</xdr:rowOff>
    </xdr:to>
    <xdr:pic>
      <xdr:nvPicPr>
        <xdr:cNvPr id="773945" name="Grafik 231" descr="025_EBC_Willi_Schatten.gif">
          <a:extLst>
            <a:ext uri="{FF2B5EF4-FFF2-40B4-BE49-F238E27FC236}">
              <a16:creationId xmlns:a16="http://schemas.microsoft.com/office/drawing/2014/main" id="{00000000-0008-0000-1000-000039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6249650"/>
          <a:ext cx="466725" cy="647700"/>
        </a:xfrm>
        <a:prstGeom prst="rect">
          <a:avLst/>
        </a:prstGeom>
        <a:noFill/>
        <a:ln w="9525">
          <a:noFill/>
          <a:miter lim="800000"/>
          <a:headEnd/>
          <a:tailEnd/>
        </a:ln>
      </xdr:spPr>
    </xdr:pic>
    <xdr:clientData/>
  </xdr:twoCellAnchor>
  <xdr:twoCellAnchor editAs="oneCell">
    <xdr:from>
      <xdr:col>1</xdr:col>
      <xdr:colOff>19050</xdr:colOff>
      <xdr:row>25</xdr:row>
      <xdr:rowOff>19050</xdr:rowOff>
    </xdr:from>
    <xdr:to>
      <xdr:col>1</xdr:col>
      <xdr:colOff>485775</xdr:colOff>
      <xdr:row>25</xdr:row>
      <xdr:rowOff>666750</xdr:rowOff>
    </xdr:to>
    <xdr:pic>
      <xdr:nvPicPr>
        <xdr:cNvPr id="773946" name="Grafik 232" descr="025_EBC_Willi_Schatten.gif">
          <a:extLst>
            <a:ext uri="{FF2B5EF4-FFF2-40B4-BE49-F238E27FC236}">
              <a16:creationId xmlns:a16="http://schemas.microsoft.com/office/drawing/2014/main" id="{00000000-0008-0000-1000-00003A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6925925"/>
          <a:ext cx="466725" cy="647700"/>
        </a:xfrm>
        <a:prstGeom prst="rect">
          <a:avLst/>
        </a:prstGeom>
        <a:noFill/>
        <a:ln w="9525">
          <a:noFill/>
          <a:miter lim="800000"/>
          <a:headEnd/>
          <a:tailEnd/>
        </a:ln>
      </xdr:spPr>
    </xdr:pic>
    <xdr:clientData/>
  </xdr:twoCellAnchor>
  <xdr:twoCellAnchor editAs="oneCell">
    <xdr:from>
      <xdr:col>1</xdr:col>
      <xdr:colOff>19050</xdr:colOff>
      <xdr:row>26</xdr:row>
      <xdr:rowOff>19050</xdr:rowOff>
    </xdr:from>
    <xdr:to>
      <xdr:col>1</xdr:col>
      <xdr:colOff>485775</xdr:colOff>
      <xdr:row>26</xdr:row>
      <xdr:rowOff>666750</xdr:rowOff>
    </xdr:to>
    <xdr:pic>
      <xdr:nvPicPr>
        <xdr:cNvPr id="773947" name="Grafik 233" descr="025_EBC_Willi_Schatten.gif">
          <a:extLst>
            <a:ext uri="{FF2B5EF4-FFF2-40B4-BE49-F238E27FC236}">
              <a16:creationId xmlns:a16="http://schemas.microsoft.com/office/drawing/2014/main" id="{00000000-0008-0000-1000-00003B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7602200"/>
          <a:ext cx="466725" cy="647700"/>
        </a:xfrm>
        <a:prstGeom prst="rect">
          <a:avLst/>
        </a:prstGeom>
        <a:noFill/>
        <a:ln w="9525">
          <a:noFill/>
          <a:miter lim="800000"/>
          <a:headEnd/>
          <a:tailEnd/>
        </a:ln>
      </xdr:spPr>
    </xdr:pic>
    <xdr:clientData/>
  </xdr:twoCellAnchor>
  <xdr:twoCellAnchor editAs="oneCell">
    <xdr:from>
      <xdr:col>1</xdr:col>
      <xdr:colOff>19050</xdr:colOff>
      <xdr:row>27</xdr:row>
      <xdr:rowOff>19050</xdr:rowOff>
    </xdr:from>
    <xdr:to>
      <xdr:col>1</xdr:col>
      <xdr:colOff>485775</xdr:colOff>
      <xdr:row>27</xdr:row>
      <xdr:rowOff>666750</xdr:rowOff>
    </xdr:to>
    <xdr:pic>
      <xdr:nvPicPr>
        <xdr:cNvPr id="773948" name="Grafik 234" descr="025_EBC_Willi_Schatten.gif">
          <a:extLst>
            <a:ext uri="{FF2B5EF4-FFF2-40B4-BE49-F238E27FC236}">
              <a16:creationId xmlns:a16="http://schemas.microsoft.com/office/drawing/2014/main" id="{00000000-0008-0000-1000-00003C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8278475"/>
          <a:ext cx="466725" cy="647700"/>
        </a:xfrm>
        <a:prstGeom prst="rect">
          <a:avLst/>
        </a:prstGeom>
        <a:noFill/>
        <a:ln w="9525">
          <a:noFill/>
          <a:miter lim="800000"/>
          <a:headEnd/>
          <a:tailEnd/>
        </a:ln>
      </xdr:spPr>
    </xdr:pic>
    <xdr:clientData/>
  </xdr:twoCellAnchor>
  <xdr:twoCellAnchor editAs="oneCell">
    <xdr:from>
      <xdr:col>1</xdr:col>
      <xdr:colOff>19050</xdr:colOff>
      <xdr:row>28</xdr:row>
      <xdr:rowOff>19050</xdr:rowOff>
    </xdr:from>
    <xdr:to>
      <xdr:col>1</xdr:col>
      <xdr:colOff>485775</xdr:colOff>
      <xdr:row>28</xdr:row>
      <xdr:rowOff>666750</xdr:rowOff>
    </xdr:to>
    <xdr:pic>
      <xdr:nvPicPr>
        <xdr:cNvPr id="773949" name="Grafik 235" descr="025_EBC_Willi_Schatten.gif">
          <a:extLst>
            <a:ext uri="{FF2B5EF4-FFF2-40B4-BE49-F238E27FC236}">
              <a16:creationId xmlns:a16="http://schemas.microsoft.com/office/drawing/2014/main" id="{00000000-0008-0000-1000-00003D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8954750"/>
          <a:ext cx="466725" cy="647700"/>
        </a:xfrm>
        <a:prstGeom prst="rect">
          <a:avLst/>
        </a:prstGeom>
        <a:noFill/>
        <a:ln w="9525">
          <a:noFill/>
          <a:miter lim="800000"/>
          <a:headEnd/>
          <a:tailEnd/>
        </a:ln>
      </xdr:spPr>
    </xdr:pic>
    <xdr:clientData/>
  </xdr:twoCellAnchor>
  <xdr:twoCellAnchor editAs="oneCell">
    <xdr:from>
      <xdr:col>1</xdr:col>
      <xdr:colOff>19050</xdr:colOff>
      <xdr:row>29</xdr:row>
      <xdr:rowOff>19050</xdr:rowOff>
    </xdr:from>
    <xdr:to>
      <xdr:col>1</xdr:col>
      <xdr:colOff>485775</xdr:colOff>
      <xdr:row>29</xdr:row>
      <xdr:rowOff>666750</xdr:rowOff>
    </xdr:to>
    <xdr:pic>
      <xdr:nvPicPr>
        <xdr:cNvPr id="773950" name="Grafik 236" descr="030_EBC_Willi_Schatten.gif">
          <a:extLst>
            <a:ext uri="{FF2B5EF4-FFF2-40B4-BE49-F238E27FC236}">
              <a16:creationId xmlns:a16="http://schemas.microsoft.com/office/drawing/2014/main" id="{00000000-0008-0000-1000-00003E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19631025"/>
          <a:ext cx="466725" cy="647700"/>
        </a:xfrm>
        <a:prstGeom prst="rect">
          <a:avLst/>
        </a:prstGeom>
        <a:noFill/>
        <a:ln w="9525">
          <a:noFill/>
          <a:miter lim="800000"/>
          <a:headEnd/>
          <a:tailEnd/>
        </a:ln>
      </xdr:spPr>
    </xdr:pic>
    <xdr:clientData/>
  </xdr:twoCellAnchor>
  <xdr:twoCellAnchor editAs="oneCell">
    <xdr:from>
      <xdr:col>1</xdr:col>
      <xdr:colOff>19050</xdr:colOff>
      <xdr:row>30</xdr:row>
      <xdr:rowOff>19050</xdr:rowOff>
    </xdr:from>
    <xdr:to>
      <xdr:col>1</xdr:col>
      <xdr:colOff>485775</xdr:colOff>
      <xdr:row>30</xdr:row>
      <xdr:rowOff>666750</xdr:rowOff>
    </xdr:to>
    <xdr:pic>
      <xdr:nvPicPr>
        <xdr:cNvPr id="773951" name="Grafik 237" descr="030_EBC_Willi_Schatten.gif">
          <a:extLst>
            <a:ext uri="{FF2B5EF4-FFF2-40B4-BE49-F238E27FC236}">
              <a16:creationId xmlns:a16="http://schemas.microsoft.com/office/drawing/2014/main" id="{00000000-0008-0000-1000-00003F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0307300"/>
          <a:ext cx="466725" cy="647700"/>
        </a:xfrm>
        <a:prstGeom prst="rect">
          <a:avLst/>
        </a:prstGeom>
        <a:noFill/>
        <a:ln w="9525">
          <a:noFill/>
          <a:miter lim="800000"/>
          <a:headEnd/>
          <a:tailEnd/>
        </a:ln>
      </xdr:spPr>
    </xdr:pic>
    <xdr:clientData/>
  </xdr:twoCellAnchor>
  <xdr:twoCellAnchor editAs="oneCell">
    <xdr:from>
      <xdr:col>1</xdr:col>
      <xdr:colOff>19050</xdr:colOff>
      <xdr:row>31</xdr:row>
      <xdr:rowOff>19050</xdr:rowOff>
    </xdr:from>
    <xdr:to>
      <xdr:col>1</xdr:col>
      <xdr:colOff>485775</xdr:colOff>
      <xdr:row>31</xdr:row>
      <xdr:rowOff>666750</xdr:rowOff>
    </xdr:to>
    <xdr:pic>
      <xdr:nvPicPr>
        <xdr:cNvPr id="773952" name="Grafik 238" descr="030_EBC_Willi_Schatten.gif">
          <a:extLst>
            <a:ext uri="{FF2B5EF4-FFF2-40B4-BE49-F238E27FC236}">
              <a16:creationId xmlns:a16="http://schemas.microsoft.com/office/drawing/2014/main" id="{00000000-0008-0000-1000-000040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0983575"/>
          <a:ext cx="466725" cy="647700"/>
        </a:xfrm>
        <a:prstGeom prst="rect">
          <a:avLst/>
        </a:prstGeom>
        <a:noFill/>
        <a:ln w="9525">
          <a:noFill/>
          <a:miter lim="800000"/>
          <a:headEnd/>
          <a:tailEnd/>
        </a:ln>
      </xdr:spPr>
    </xdr:pic>
    <xdr:clientData/>
  </xdr:twoCellAnchor>
  <xdr:twoCellAnchor editAs="oneCell">
    <xdr:from>
      <xdr:col>1</xdr:col>
      <xdr:colOff>19050</xdr:colOff>
      <xdr:row>32</xdr:row>
      <xdr:rowOff>19050</xdr:rowOff>
    </xdr:from>
    <xdr:to>
      <xdr:col>1</xdr:col>
      <xdr:colOff>485775</xdr:colOff>
      <xdr:row>32</xdr:row>
      <xdr:rowOff>666750</xdr:rowOff>
    </xdr:to>
    <xdr:pic>
      <xdr:nvPicPr>
        <xdr:cNvPr id="773953" name="Grafik 239" descr="030_EBC_Willi_Schatten.gif">
          <a:extLst>
            <a:ext uri="{FF2B5EF4-FFF2-40B4-BE49-F238E27FC236}">
              <a16:creationId xmlns:a16="http://schemas.microsoft.com/office/drawing/2014/main" id="{00000000-0008-0000-1000-000041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1659850"/>
          <a:ext cx="466725" cy="647700"/>
        </a:xfrm>
        <a:prstGeom prst="rect">
          <a:avLst/>
        </a:prstGeom>
        <a:noFill/>
        <a:ln w="9525">
          <a:noFill/>
          <a:miter lim="800000"/>
          <a:headEnd/>
          <a:tailEnd/>
        </a:ln>
      </xdr:spPr>
    </xdr:pic>
    <xdr:clientData/>
  </xdr:twoCellAnchor>
  <xdr:twoCellAnchor editAs="oneCell">
    <xdr:from>
      <xdr:col>1</xdr:col>
      <xdr:colOff>19050</xdr:colOff>
      <xdr:row>33</xdr:row>
      <xdr:rowOff>19050</xdr:rowOff>
    </xdr:from>
    <xdr:to>
      <xdr:col>1</xdr:col>
      <xdr:colOff>485775</xdr:colOff>
      <xdr:row>33</xdr:row>
      <xdr:rowOff>666750</xdr:rowOff>
    </xdr:to>
    <xdr:pic>
      <xdr:nvPicPr>
        <xdr:cNvPr id="773954" name="Grafik 240" descr="030_EBC_Willi_Schatten.gif">
          <a:extLst>
            <a:ext uri="{FF2B5EF4-FFF2-40B4-BE49-F238E27FC236}">
              <a16:creationId xmlns:a16="http://schemas.microsoft.com/office/drawing/2014/main" id="{00000000-0008-0000-1000-000042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2336125"/>
          <a:ext cx="466725" cy="647700"/>
        </a:xfrm>
        <a:prstGeom prst="rect">
          <a:avLst/>
        </a:prstGeom>
        <a:noFill/>
        <a:ln w="9525">
          <a:noFill/>
          <a:miter lim="800000"/>
          <a:headEnd/>
          <a:tailEnd/>
        </a:ln>
      </xdr:spPr>
    </xdr:pic>
    <xdr:clientData/>
  </xdr:twoCellAnchor>
  <xdr:twoCellAnchor editAs="oneCell">
    <xdr:from>
      <xdr:col>1</xdr:col>
      <xdr:colOff>19050</xdr:colOff>
      <xdr:row>34</xdr:row>
      <xdr:rowOff>19050</xdr:rowOff>
    </xdr:from>
    <xdr:to>
      <xdr:col>1</xdr:col>
      <xdr:colOff>485775</xdr:colOff>
      <xdr:row>34</xdr:row>
      <xdr:rowOff>666750</xdr:rowOff>
    </xdr:to>
    <xdr:pic>
      <xdr:nvPicPr>
        <xdr:cNvPr id="773955" name="Grafik 241" descr="030_EBC_Willi_Schatten.gif">
          <a:extLst>
            <a:ext uri="{FF2B5EF4-FFF2-40B4-BE49-F238E27FC236}">
              <a16:creationId xmlns:a16="http://schemas.microsoft.com/office/drawing/2014/main" id="{00000000-0008-0000-1000-000043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3012400"/>
          <a:ext cx="466725" cy="647700"/>
        </a:xfrm>
        <a:prstGeom prst="rect">
          <a:avLst/>
        </a:prstGeom>
        <a:noFill/>
        <a:ln w="9525">
          <a:noFill/>
          <a:miter lim="800000"/>
          <a:headEnd/>
          <a:tailEnd/>
        </a:ln>
      </xdr:spPr>
    </xdr:pic>
    <xdr:clientData/>
  </xdr:twoCellAnchor>
  <xdr:twoCellAnchor editAs="oneCell">
    <xdr:from>
      <xdr:col>1</xdr:col>
      <xdr:colOff>19050</xdr:colOff>
      <xdr:row>35</xdr:row>
      <xdr:rowOff>19050</xdr:rowOff>
    </xdr:from>
    <xdr:to>
      <xdr:col>1</xdr:col>
      <xdr:colOff>485775</xdr:colOff>
      <xdr:row>35</xdr:row>
      <xdr:rowOff>666750</xdr:rowOff>
    </xdr:to>
    <xdr:pic>
      <xdr:nvPicPr>
        <xdr:cNvPr id="773956" name="Grafik 242" descr="030_EBC_Willi_Schatten.gif">
          <a:extLst>
            <a:ext uri="{FF2B5EF4-FFF2-40B4-BE49-F238E27FC236}">
              <a16:creationId xmlns:a16="http://schemas.microsoft.com/office/drawing/2014/main" id="{00000000-0008-0000-1000-000044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3688675"/>
          <a:ext cx="466725" cy="647700"/>
        </a:xfrm>
        <a:prstGeom prst="rect">
          <a:avLst/>
        </a:prstGeom>
        <a:noFill/>
        <a:ln w="9525">
          <a:noFill/>
          <a:miter lim="800000"/>
          <a:headEnd/>
          <a:tailEnd/>
        </a:ln>
      </xdr:spPr>
    </xdr:pic>
    <xdr:clientData/>
  </xdr:twoCellAnchor>
  <xdr:twoCellAnchor editAs="oneCell">
    <xdr:from>
      <xdr:col>1</xdr:col>
      <xdr:colOff>19050</xdr:colOff>
      <xdr:row>36</xdr:row>
      <xdr:rowOff>19050</xdr:rowOff>
    </xdr:from>
    <xdr:to>
      <xdr:col>1</xdr:col>
      <xdr:colOff>485775</xdr:colOff>
      <xdr:row>36</xdr:row>
      <xdr:rowOff>666750</xdr:rowOff>
    </xdr:to>
    <xdr:pic>
      <xdr:nvPicPr>
        <xdr:cNvPr id="773957" name="Grafik 243" descr="030_EBC_Willi_Schatten.gif">
          <a:extLst>
            <a:ext uri="{FF2B5EF4-FFF2-40B4-BE49-F238E27FC236}">
              <a16:creationId xmlns:a16="http://schemas.microsoft.com/office/drawing/2014/main" id="{00000000-0008-0000-1000-000045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4364950"/>
          <a:ext cx="466725" cy="647700"/>
        </a:xfrm>
        <a:prstGeom prst="rect">
          <a:avLst/>
        </a:prstGeom>
        <a:noFill/>
        <a:ln w="9525">
          <a:noFill/>
          <a:miter lim="800000"/>
          <a:headEnd/>
          <a:tailEnd/>
        </a:ln>
      </xdr:spPr>
    </xdr:pic>
    <xdr:clientData/>
  </xdr:twoCellAnchor>
  <xdr:twoCellAnchor editAs="oneCell">
    <xdr:from>
      <xdr:col>1</xdr:col>
      <xdr:colOff>19050</xdr:colOff>
      <xdr:row>37</xdr:row>
      <xdr:rowOff>19050</xdr:rowOff>
    </xdr:from>
    <xdr:to>
      <xdr:col>1</xdr:col>
      <xdr:colOff>485775</xdr:colOff>
      <xdr:row>37</xdr:row>
      <xdr:rowOff>666750</xdr:rowOff>
    </xdr:to>
    <xdr:pic>
      <xdr:nvPicPr>
        <xdr:cNvPr id="773958" name="Grafik 244" descr="030_EBC_Willi_Schatten.gif">
          <a:extLst>
            <a:ext uri="{FF2B5EF4-FFF2-40B4-BE49-F238E27FC236}">
              <a16:creationId xmlns:a16="http://schemas.microsoft.com/office/drawing/2014/main" id="{00000000-0008-0000-1000-000046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5041225"/>
          <a:ext cx="466725" cy="647700"/>
        </a:xfrm>
        <a:prstGeom prst="rect">
          <a:avLst/>
        </a:prstGeom>
        <a:noFill/>
        <a:ln w="9525">
          <a:noFill/>
          <a:miter lim="800000"/>
          <a:headEnd/>
          <a:tailEnd/>
        </a:ln>
      </xdr:spPr>
    </xdr:pic>
    <xdr:clientData/>
  </xdr:twoCellAnchor>
  <xdr:twoCellAnchor editAs="oneCell">
    <xdr:from>
      <xdr:col>1</xdr:col>
      <xdr:colOff>19050</xdr:colOff>
      <xdr:row>38</xdr:row>
      <xdr:rowOff>19050</xdr:rowOff>
    </xdr:from>
    <xdr:to>
      <xdr:col>1</xdr:col>
      <xdr:colOff>485775</xdr:colOff>
      <xdr:row>38</xdr:row>
      <xdr:rowOff>666750</xdr:rowOff>
    </xdr:to>
    <xdr:pic>
      <xdr:nvPicPr>
        <xdr:cNvPr id="773959" name="Grafik 245" descr="030_EBC_Willi_Schatten.gif">
          <a:extLst>
            <a:ext uri="{FF2B5EF4-FFF2-40B4-BE49-F238E27FC236}">
              <a16:creationId xmlns:a16="http://schemas.microsoft.com/office/drawing/2014/main" id="{00000000-0008-0000-1000-000047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5717500"/>
          <a:ext cx="466725" cy="647700"/>
        </a:xfrm>
        <a:prstGeom prst="rect">
          <a:avLst/>
        </a:prstGeom>
        <a:noFill/>
        <a:ln w="9525">
          <a:noFill/>
          <a:miter lim="800000"/>
          <a:headEnd/>
          <a:tailEnd/>
        </a:ln>
      </xdr:spPr>
    </xdr:pic>
    <xdr:clientData/>
  </xdr:twoCellAnchor>
  <xdr:twoCellAnchor editAs="oneCell">
    <xdr:from>
      <xdr:col>1</xdr:col>
      <xdr:colOff>19050</xdr:colOff>
      <xdr:row>39</xdr:row>
      <xdr:rowOff>19050</xdr:rowOff>
    </xdr:from>
    <xdr:to>
      <xdr:col>1</xdr:col>
      <xdr:colOff>485775</xdr:colOff>
      <xdr:row>39</xdr:row>
      <xdr:rowOff>666750</xdr:rowOff>
    </xdr:to>
    <xdr:pic>
      <xdr:nvPicPr>
        <xdr:cNvPr id="773960" name="Grafik 246" descr="040_EBC_Willi_Schatten.gif">
          <a:extLst>
            <a:ext uri="{FF2B5EF4-FFF2-40B4-BE49-F238E27FC236}">
              <a16:creationId xmlns:a16="http://schemas.microsoft.com/office/drawing/2014/main" id="{00000000-0008-0000-1000-000048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6393775"/>
          <a:ext cx="466725" cy="647700"/>
        </a:xfrm>
        <a:prstGeom prst="rect">
          <a:avLst/>
        </a:prstGeom>
        <a:noFill/>
        <a:ln w="9525">
          <a:noFill/>
          <a:miter lim="800000"/>
          <a:headEnd/>
          <a:tailEnd/>
        </a:ln>
      </xdr:spPr>
    </xdr:pic>
    <xdr:clientData/>
  </xdr:twoCellAnchor>
  <xdr:twoCellAnchor editAs="oneCell">
    <xdr:from>
      <xdr:col>1</xdr:col>
      <xdr:colOff>19050</xdr:colOff>
      <xdr:row>40</xdr:row>
      <xdr:rowOff>19050</xdr:rowOff>
    </xdr:from>
    <xdr:to>
      <xdr:col>1</xdr:col>
      <xdr:colOff>485775</xdr:colOff>
      <xdr:row>40</xdr:row>
      <xdr:rowOff>666750</xdr:rowOff>
    </xdr:to>
    <xdr:pic>
      <xdr:nvPicPr>
        <xdr:cNvPr id="773961" name="Grafik 247" descr="040_EBC_Willi_Schatten.gif">
          <a:extLst>
            <a:ext uri="{FF2B5EF4-FFF2-40B4-BE49-F238E27FC236}">
              <a16:creationId xmlns:a16="http://schemas.microsoft.com/office/drawing/2014/main" id="{00000000-0008-0000-1000-000049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7070050"/>
          <a:ext cx="466725" cy="647700"/>
        </a:xfrm>
        <a:prstGeom prst="rect">
          <a:avLst/>
        </a:prstGeom>
        <a:noFill/>
        <a:ln w="9525">
          <a:noFill/>
          <a:miter lim="800000"/>
          <a:headEnd/>
          <a:tailEnd/>
        </a:ln>
      </xdr:spPr>
    </xdr:pic>
    <xdr:clientData/>
  </xdr:twoCellAnchor>
  <xdr:twoCellAnchor editAs="oneCell">
    <xdr:from>
      <xdr:col>1</xdr:col>
      <xdr:colOff>19050</xdr:colOff>
      <xdr:row>41</xdr:row>
      <xdr:rowOff>19050</xdr:rowOff>
    </xdr:from>
    <xdr:to>
      <xdr:col>1</xdr:col>
      <xdr:colOff>485775</xdr:colOff>
      <xdr:row>41</xdr:row>
      <xdr:rowOff>666750</xdr:rowOff>
    </xdr:to>
    <xdr:pic>
      <xdr:nvPicPr>
        <xdr:cNvPr id="773962" name="Grafik 248" descr="040_EBC_Willi_Schatten.gif">
          <a:extLst>
            <a:ext uri="{FF2B5EF4-FFF2-40B4-BE49-F238E27FC236}">
              <a16:creationId xmlns:a16="http://schemas.microsoft.com/office/drawing/2014/main" id="{00000000-0008-0000-1000-00004A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7746325"/>
          <a:ext cx="466725" cy="647700"/>
        </a:xfrm>
        <a:prstGeom prst="rect">
          <a:avLst/>
        </a:prstGeom>
        <a:noFill/>
        <a:ln w="9525">
          <a:noFill/>
          <a:miter lim="800000"/>
          <a:headEnd/>
          <a:tailEnd/>
        </a:ln>
      </xdr:spPr>
    </xdr:pic>
    <xdr:clientData/>
  </xdr:twoCellAnchor>
  <xdr:twoCellAnchor editAs="oneCell">
    <xdr:from>
      <xdr:col>1</xdr:col>
      <xdr:colOff>19050</xdr:colOff>
      <xdr:row>42</xdr:row>
      <xdr:rowOff>19050</xdr:rowOff>
    </xdr:from>
    <xdr:to>
      <xdr:col>1</xdr:col>
      <xdr:colOff>485775</xdr:colOff>
      <xdr:row>42</xdr:row>
      <xdr:rowOff>666750</xdr:rowOff>
    </xdr:to>
    <xdr:pic>
      <xdr:nvPicPr>
        <xdr:cNvPr id="773963" name="Grafik 249" descr="040_EBC_Willi_Schatten.gif">
          <a:extLst>
            <a:ext uri="{FF2B5EF4-FFF2-40B4-BE49-F238E27FC236}">
              <a16:creationId xmlns:a16="http://schemas.microsoft.com/office/drawing/2014/main" id="{00000000-0008-0000-1000-00004B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8422600"/>
          <a:ext cx="466725" cy="647700"/>
        </a:xfrm>
        <a:prstGeom prst="rect">
          <a:avLst/>
        </a:prstGeom>
        <a:noFill/>
        <a:ln w="9525">
          <a:noFill/>
          <a:miter lim="800000"/>
          <a:headEnd/>
          <a:tailEnd/>
        </a:ln>
      </xdr:spPr>
    </xdr:pic>
    <xdr:clientData/>
  </xdr:twoCellAnchor>
  <xdr:twoCellAnchor editAs="oneCell">
    <xdr:from>
      <xdr:col>1</xdr:col>
      <xdr:colOff>19050</xdr:colOff>
      <xdr:row>43</xdr:row>
      <xdr:rowOff>19050</xdr:rowOff>
    </xdr:from>
    <xdr:to>
      <xdr:col>1</xdr:col>
      <xdr:colOff>485775</xdr:colOff>
      <xdr:row>43</xdr:row>
      <xdr:rowOff>666750</xdr:rowOff>
    </xdr:to>
    <xdr:pic>
      <xdr:nvPicPr>
        <xdr:cNvPr id="773964" name="Grafik 250" descr="040_EBC_Willi_Schatten.gif">
          <a:extLst>
            <a:ext uri="{FF2B5EF4-FFF2-40B4-BE49-F238E27FC236}">
              <a16:creationId xmlns:a16="http://schemas.microsoft.com/office/drawing/2014/main" id="{00000000-0008-0000-1000-00004C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9098875"/>
          <a:ext cx="466725" cy="647700"/>
        </a:xfrm>
        <a:prstGeom prst="rect">
          <a:avLst/>
        </a:prstGeom>
        <a:noFill/>
        <a:ln w="9525">
          <a:noFill/>
          <a:miter lim="800000"/>
          <a:headEnd/>
          <a:tailEnd/>
        </a:ln>
      </xdr:spPr>
    </xdr:pic>
    <xdr:clientData/>
  </xdr:twoCellAnchor>
  <xdr:twoCellAnchor editAs="oneCell">
    <xdr:from>
      <xdr:col>1</xdr:col>
      <xdr:colOff>19050</xdr:colOff>
      <xdr:row>44</xdr:row>
      <xdr:rowOff>19050</xdr:rowOff>
    </xdr:from>
    <xdr:to>
      <xdr:col>1</xdr:col>
      <xdr:colOff>485775</xdr:colOff>
      <xdr:row>44</xdr:row>
      <xdr:rowOff>666750</xdr:rowOff>
    </xdr:to>
    <xdr:pic>
      <xdr:nvPicPr>
        <xdr:cNvPr id="773965" name="Grafik 251" descr="040_EBC_Willi_Schatten.gif">
          <a:extLst>
            <a:ext uri="{FF2B5EF4-FFF2-40B4-BE49-F238E27FC236}">
              <a16:creationId xmlns:a16="http://schemas.microsoft.com/office/drawing/2014/main" id="{00000000-0008-0000-1000-00004D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9775150"/>
          <a:ext cx="466725" cy="647700"/>
        </a:xfrm>
        <a:prstGeom prst="rect">
          <a:avLst/>
        </a:prstGeom>
        <a:noFill/>
        <a:ln w="9525">
          <a:noFill/>
          <a:miter lim="800000"/>
          <a:headEnd/>
          <a:tailEnd/>
        </a:ln>
      </xdr:spPr>
    </xdr:pic>
    <xdr:clientData/>
  </xdr:twoCellAnchor>
  <xdr:twoCellAnchor editAs="oneCell">
    <xdr:from>
      <xdr:col>1</xdr:col>
      <xdr:colOff>19050</xdr:colOff>
      <xdr:row>45</xdr:row>
      <xdr:rowOff>19050</xdr:rowOff>
    </xdr:from>
    <xdr:to>
      <xdr:col>1</xdr:col>
      <xdr:colOff>485775</xdr:colOff>
      <xdr:row>45</xdr:row>
      <xdr:rowOff>666750</xdr:rowOff>
    </xdr:to>
    <xdr:pic>
      <xdr:nvPicPr>
        <xdr:cNvPr id="773966" name="Grafik 252" descr="040_EBC_Willi_Schatten.gif">
          <a:extLst>
            <a:ext uri="{FF2B5EF4-FFF2-40B4-BE49-F238E27FC236}">
              <a16:creationId xmlns:a16="http://schemas.microsoft.com/office/drawing/2014/main" id="{00000000-0008-0000-1000-00004E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0451425"/>
          <a:ext cx="466725" cy="647700"/>
        </a:xfrm>
        <a:prstGeom prst="rect">
          <a:avLst/>
        </a:prstGeom>
        <a:noFill/>
        <a:ln w="9525">
          <a:noFill/>
          <a:miter lim="800000"/>
          <a:headEnd/>
          <a:tailEnd/>
        </a:ln>
      </xdr:spPr>
    </xdr:pic>
    <xdr:clientData/>
  </xdr:twoCellAnchor>
  <xdr:twoCellAnchor editAs="oneCell">
    <xdr:from>
      <xdr:col>1</xdr:col>
      <xdr:colOff>19050</xdr:colOff>
      <xdr:row>46</xdr:row>
      <xdr:rowOff>19050</xdr:rowOff>
    </xdr:from>
    <xdr:to>
      <xdr:col>1</xdr:col>
      <xdr:colOff>485775</xdr:colOff>
      <xdr:row>46</xdr:row>
      <xdr:rowOff>666750</xdr:rowOff>
    </xdr:to>
    <xdr:pic>
      <xdr:nvPicPr>
        <xdr:cNvPr id="773967" name="Grafik 253" descr="040_EBC_Willi_Schatten.gif">
          <a:extLst>
            <a:ext uri="{FF2B5EF4-FFF2-40B4-BE49-F238E27FC236}">
              <a16:creationId xmlns:a16="http://schemas.microsoft.com/office/drawing/2014/main" id="{00000000-0008-0000-1000-00004F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1127700"/>
          <a:ext cx="466725" cy="647700"/>
        </a:xfrm>
        <a:prstGeom prst="rect">
          <a:avLst/>
        </a:prstGeom>
        <a:noFill/>
        <a:ln w="9525">
          <a:noFill/>
          <a:miter lim="800000"/>
          <a:headEnd/>
          <a:tailEnd/>
        </a:ln>
      </xdr:spPr>
    </xdr:pic>
    <xdr:clientData/>
  </xdr:twoCellAnchor>
  <xdr:twoCellAnchor editAs="oneCell">
    <xdr:from>
      <xdr:col>1</xdr:col>
      <xdr:colOff>19050</xdr:colOff>
      <xdr:row>47</xdr:row>
      <xdr:rowOff>19050</xdr:rowOff>
    </xdr:from>
    <xdr:to>
      <xdr:col>1</xdr:col>
      <xdr:colOff>485775</xdr:colOff>
      <xdr:row>47</xdr:row>
      <xdr:rowOff>666750</xdr:rowOff>
    </xdr:to>
    <xdr:pic>
      <xdr:nvPicPr>
        <xdr:cNvPr id="773968" name="Grafik 254" descr="040_EBC_Willi_Schatten.gif">
          <a:extLst>
            <a:ext uri="{FF2B5EF4-FFF2-40B4-BE49-F238E27FC236}">
              <a16:creationId xmlns:a16="http://schemas.microsoft.com/office/drawing/2014/main" id="{00000000-0008-0000-1000-000050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1803975"/>
          <a:ext cx="466725" cy="647700"/>
        </a:xfrm>
        <a:prstGeom prst="rect">
          <a:avLst/>
        </a:prstGeom>
        <a:noFill/>
        <a:ln w="9525">
          <a:noFill/>
          <a:miter lim="800000"/>
          <a:headEnd/>
          <a:tailEnd/>
        </a:ln>
      </xdr:spPr>
    </xdr:pic>
    <xdr:clientData/>
  </xdr:twoCellAnchor>
  <xdr:twoCellAnchor editAs="oneCell">
    <xdr:from>
      <xdr:col>1</xdr:col>
      <xdr:colOff>19050</xdr:colOff>
      <xdr:row>48</xdr:row>
      <xdr:rowOff>19050</xdr:rowOff>
    </xdr:from>
    <xdr:to>
      <xdr:col>1</xdr:col>
      <xdr:colOff>485775</xdr:colOff>
      <xdr:row>48</xdr:row>
      <xdr:rowOff>666750</xdr:rowOff>
    </xdr:to>
    <xdr:pic>
      <xdr:nvPicPr>
        <xdr:cNvPr id="773969" name="Grafik 255" descr="040_EBC_Willi_Schatten.gif">
          <a:extLst>
            <a:ext uri="{FF2B5EF4-FFF2-40B4-BE49-F238E27FC236}">
              <a16:creationId xmlns:a16="http://schemas.microsoft.com/office/drawing/2014/main" id="{00000000-0008-0000-1000-000051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2480250"/>
          <a:ext cx="466725" cy="647700"/>
        </a:xfrm>
        <a:prstGeom prst="rect">
          <a:avLst/>
        </a:prstGeom>
        <a:noFill/>
        <a:ln w="9525">
          <a:noFill/>
          <a:miter lim="800000"/>
          <a:headEnd/>
          <a:tailEnd/>
        </a:ln>
      </xdr:spPr>
    </xdr:pic>
    <xdr:clientData/>
  </xdr:twoCellAnchor>
  <xdr:twoCellAnchor editAs="oneCell">
    <xdr:from>
      <xdr:col>1</xdr:col>
      <xdr:colOff>19050</xdr:colOff>
      <xdr:row>49</xdr:row>
      <xdr:rowOff>19050</xdr:rowOff>
    </xdr:from>
    <xdr:to>
      <xdr:col>1</xdr:col>
      <xdr:colOff>485775</xdr:colOff>
      <xdr:row>49</xdr:row>
      <xdr:rowOff>666750</xdr:rowOff>
    </xdr:to>
    <xdr:pic>
      <xdr:nvPicPr>
        <xdr:cNvPr id="773970" name="Grafik 256" descr="050_EBC_Willi_Schatten.gif">
          <a:extLst>
            <a:ext uri="{FF2B5EF4-FFF2-40B4-BE49-F238E27FC236}">
              <a16:creationId xmlns:a16="http://schemas.microsoft.com/office/drawing/2014/main" id="{00000000-0008-0000-1000-000052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3156525"/>
          <a:ext cx="466725" cy="647700"/>
        </a:xfrm>
        <a:prstGeom prst="rect">
          <a:avLst/>
        </a:prstGeom>
        <a:noFill/>
        <a:ln w="9525">
          <a:noFill/>
          <a:miter lim="800000"/>
          <a:headEnd/>
          <a:tailEnd/>
        </a:ln>
      </xdr:spPr>
    </xdr:pic>
    <xdr:clientData/>
  </xdr:twoCellAnchor>
  <xdr:twoCellAnchor editAs="oneCell">
    <xdr:from>
      <xdr:col>1</xdr:col>
      <xdr:colOff>19050</xdr:colOff>
      <xdr:row>50</xdr:row>
      <xdr:rowOff>19050</xdr:rowOff>
    </xdr:from>
    <xdr:to>
      <xdr:col>1</xdr:col>
      <xdr:colOff>485775</xdr:colOff>
      <xdr:row>50</xdr:row>
      <xdr:rowOff>666750</xdr:rowOff>
    </xdr:to>
    <xdr:pic>
      <xdr:nvPicPr>
        <xdr:cNvPr id="773971" name="Grafik 257" descr="050_EBC_Willi_Schatten.gif">
          <a:extLst>
            <a:ext uri="{FF2B5EF4-FFF2-40B4-BE49-F238E27FC236}">
              <a16:creationId xmlns:a16="http://schemas.microsoft.com/office/drawing/2014/main" id="{00000000-0008-0000-1000-000053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3832800"/>
          <a:ext cx="466725" cy="647700"/>
        </a:xfrm>
        <a:prstGeom prst="rect">
          <a:avLst/>
        </a:prstGeom>
        <a:noFill/>
        <a:ln w="9525">
          <a:noFill/>
          <a:miter lim="800000"/>
          <a:headEnd/>
          <a:tailEnd/>
        </a:ln>
      </xdr:spPr>
    </xdr:pic>
    <xdr:clientData/>
  </xdr:twoCellAnchor>
  <xdr:twoCellAnchor editAs="oneCell">
    <xdr:from>
      <xdr:col>1</xdr:col>
      <xdr:colOff>19050</xdr:colOff>
      <xdr:row>51</xdr:row>
      <xdr:rowOff>19050</xdr:rowOff>
    </xdr:from>
    <xdr:to>
      <xdr:col>1</xdr:col>
      <xdr:colOff>485775</xdr:colOff>
      <xdr:row>51</xdr:row>
      <xdr:rowOff>666750</xdr:rowOff>
    </xdr:to>
    <xdr:pic>
      <xdr:nvPicPr>
        <xdr:cNvPr id="773972" name="Grafik 258" descr="050_EBC_Willi_Schatten.gif">
          <a:extLst>
            <a:ext uri="{FF2B5EF4-FFF2-40B4-BE49-F238E27FC236}">
              <a16:creationId xmlns:a16="http://schemas.microsoft.com/office/drawing/2014/main" id="{00000000-0008-0000-1000-000054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4509075"/>
          <a:ext cx="466725" cy="647700"/>
        </a:xfrm>
        <a:prstGeom prst="rect">
          <a:avLst/>
        </a:prstGeom>
        <a:noFill/>
        <a:ln w="9525">
          <a:noFill/>
          <a:miter lim="800000"/>
          <a:headEnd/>
          <a:tailEnd/>
        </a:ln>
      </xdr:spPr>
    </xdr:pic>
    <xdr:clientData/>
  </xdr:twoCellAnchor>
  <xdr:twoCellAnchor editAs="oneCell">
    <xdr:from>
      <xdr:col>1</xdr:col>
      <xdr:colOff>19050</xdr:colOff>
      <xdr:row>52</xdr:row>
      <xdr:rowOff>19050</xdr:rowOff>
    </xdr:from>
    <xdr:to>
      <xdr:col>1</xdr:col>
      <xdr:colOff>485775</xdr:colOff>
      <xdr:row>52</xdr:row>
      <xdr:rowOff>666750</xdr:rowOff>
    </xdr:to>
    <xdr:pic>
      <xdr:nvPicPr>
        <xdr:cNvPr id="773973" name="Grafik 259" descr="050_EBC_Willi_Schatten.gif">
          <a:extLst>
            <a:ext uri="{FF2B5EF4-FFF2-40B4-BE49-F238E27FC236}">
              <a16:creationId xmlns:a16="http://schemas.microsoft.com/office/drawing/2014/main" id="{00000000-0008-0000-1000-000055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5185350"/>
          <a:ext cx="466725" cy="647700"/>
        </a:xfrm>
        <a:prstGeom prst="rect">
          <a:avLst/>
        </a:prstGeom>
        <a:noFill/>
        <a:ln w="9525">
          <a:noFill/>
          <a:miter lim="800000"/>
          <a:headEnd/>
          <a:tailEnd/>
        </a:ln>
      </xdr:spPr>
    </xdr:pic>
    <xdr:clientData/>
  </xdr:twoCellAnchor>
  <xdr:twoCellAnchor editAs="oneCell">
    <xdr:from>
      <xdr:col>1</xdr:col>
      <xdr:colOff>19050</xdr:colOff>
      <xdr:row>53</xdr:row>
      <xdr:rowOff>19050</xdr:rowOff>
    </xdr:from>
    <xdr:to>
      <xdr:col>1</xdr:col>
      <xdr:colOff>485775</xdr:colOff>
      <xdr:row>53</xdr:row>
      <xdr:rowOff>666750</xdr:rowOff>
    </xdr:to>
    <xdr:pic>
      <xdr:nvPicPr>
        <xdr:cNvPr id="773974" name="Grafik 260" descr="050_EBC_Willi_Schatten.gif">
          <a:extLst>
            <a:ext uri="{FF2B5EF4-FFF2-40B4-BE49-F238E27FC236}">
              <a16:creationId xmlns:a16="http://schemas.microsoft.com/office/drawing/2014/main" id="{00000000-0008-0000-1000-000056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5861625"/>
          <a:ext cx="466725" cy="647700"/>
        </a:xfrm>
        <a:prstGeom prst="rect">
          <a:avLst/>
        </a:prstGeom>
        <a:noFill/>
        <a:ln w="9525">
          <a:noFill/>
          <a:miter lim="800000"/>
          <a:headEnd/>
          <a:tailEnd/>
        </a:ln>
      </xdr:spPr>
    </xdr:pic>
    <xdr:clientData/>
  </xdr:twoCellAnchor>
  <xdr:twoCellAnchor editAs="oneCell">
    <xdr:from>
      <xdr:col>1</xdr:col>
      <xdr:colOff>19050</xdr:colOff>
      <xdr:row>54</xdr:row>
      <xdr:rowOff>19050</xdr:rowOff>
    </xdr:from>
    <xdr:to>
      <xdr:col>1</xdr:col>
      <xdr:colOff>485775</xdr:colOff>
      <xdr:row>54</xdr:row>
      <xdr:rowOff>666750</xdr:rowOff>
    </xdr:to>
    <xdr:pic>
      <xdr:nvPicPr>
        <xdr:cNvPr id="773975" name="Grafik 261" descr="050_EBC_Willi_Schatten.gif">
          <a:extLst>
            <a:ext uri="{FF2B5EF4-FFF2-40B4-BE49-F238E27FC236}">
              <a16:creationId xmlns:a16="http://schemas.microsoft.com/office/drawing/2014/main" id="{00000000-0008-0000-1000-000057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6537900"/>
          <a:ext cx="466725" cy="647700"/>
        </a:xfrm>
        <a:prstGeom prst="rect">
          <a:avLst/>
        </a:prstGeom>
        <a:noFill/>
        <a:ln w="9525">
          <a:noFill/>
          <a:miter lim="800000"/>
          <a:headEnd/>
          <a:tailEnd/>
        </a:ln>
      </xdr:spPr>
    </xdr:pic>
    <xdr:clientData/>
  </xdr:twoCellAnchor>
  <xdr:twoCellAnchor editAs="oneCell">
    <xdr:from>
      <xdr:col>1</xdr:col>
      <xdr:colOff>19050</xdr:colOff>
      <xdr:row>55</xdr:row>
      <xdr:rowOff>19050</xdr:rowOff>
    </xdr:from>
    <xdr:to>
      <xdr:col>1</xdr:col>
      <xdr:colOff>485775</xdr:colOff>
      <xdr:row>55</xdr:row>
      <xdr:rowOff>666750</xdr:rowOff>
    </xdr:to>
    <xdr:pic>
      <xdr:nvPicPr>
        <xdr:cNvPr id="773976" name="Grafik 262" descr="050_EBC_Willi_Schatten.gif">
          <a:extLst>
            <a:ext uri="{FF2B5EF4-FFF2-40B4-BE49-F238E27FC236}">
              <a16:creationId xmlns:a16="http://schemas.microsoft.com/office/drawing/2014/main" id="{00000000-0008-0000-1000-000058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7214175"/>
          <a:ext cx="466725" cy="647700"/>
        </a:xfrm>
        <a:prstGeom prst="rect">
          <a:avLst/>
        </a:prstGeom>
        <a:noFill/>
        <a:ln w="9525">
          <a:noFill/>
          <a:miter lim="800000"/>
          <a:headEnd/>
          <a:tailEnd/>
        </a:ln>
      </xdr:spPr>
    </xdr:pic>
    <xdr:clientData/>
  </xdr:twoCellAnchor>
  <xdr:twoCellAnchor editAs="oneCell">
    <xdr:from>
      <xdr:col>1</xdr:col>
      <xdr:colOff>19050</xdr:colOff>
      <xdr:row>56</xdr:row>
      <xdr:rowOff>19050</xdr:rowOff>
    </xdr:from>
    <xdr:to>
      <xdr:col>1</xdr:col>
      <xdr:colOff>485775</xdr:colOff>
      <xdr:row>56</xdr:row>
      <xdr:rowOff>666750</xdr:rowOff>
    </xdr:to>
    <xdr:pic>
      <xdr:nvPicPr>
        <xdr:cNvPr id="773977" name="Grafik 263" descr="050_EBC_Willi_Schatten.gif">
          <a:extLst>
            <a:ext uri="{FF2B5EF4-FFF2-40B4-BE49-F238E27FC236}">
              <a16:creationId xmlns:a16="http://schemas.microsoft.com/office/drawing/2014/main" id="{00000000-0008-0000-1000-000059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7890450"/>
          <a:ext cx="466725" cy="647700"/>
        </a:xfrm>
        <a:prstGeom prst="rect">
          <a:avLst/>
        </a:prstGeom>
        <a:noFill/>
        <a:ln w="9525">
          <a:noFill/>
          <a:miter lim="800000"/>
          <a:headEnd/>
          <a:tailEnd/>
        </a:ln>
      </xdr:spPr>
    </xdr:pic>
    <xdr:clientData/>
  </xdr:twoCellAnchor>
  <xdr:twoCellAnchor editAs="oneCell">
    <xdr:from>
      <xdr:col>1</xdr:col>
      <xdr:colOff>19050</xdr:colOff>
      <xdr:row>57</xdr:row>
      <xdr:rowOff>19050</xdr:rowOff>
    </xdr:from>
    <xdr:to>
      <xdr:col>1</xdr:col>
      <xdr:colOff>485775</xdr:colOff>
      <xdr:row>57</xdr:row>
      <xdr:rowOff>666750</xdr:rowOff>
    </xdr:to>
    <xdr:pic>
      <xdr:nvPicPr>
        <xdr:cNvPr id="773978" name="Grafik 264" descr="050_EBC_Willi_Schatten.gif">
          <a:extLst>
            <a:ext uri="{FF2B5EF4-FFF2-40B4-BE49-F238E27FC236}">
              <a16:creationId xmlns:a16="http://schemas.microsoft.com/office/drawing/2014/main" id="{00000000-0008-0000-1000-00005A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8566725"/>
          <a:ext cx="466725" cy="647700"/>
        </a:xfrm>
        <a:prstGeom prst="rect">
          <a:avLst/>
        </a:prstGeom>
        <a:noFill/>
        <a:ln w="9525">
          <a:noFill/>
          <a:miter lim="800000"/>
          <a:headEnd/>
          <a:tailEnd/>
        </a:ln>
      </xdr:spPr>
    </xdr:pic>
    <xdr:clientData/>
  </xdr:twoCellAnchor>
  <xdr:twoCellAnchor editAs="oneCell">
    <xdr:from>
      <xdr:col>1</xdr:col>
      <xdr:colOff>19050</xdr:colOff>
      <xdr:row>58</xdr:row>
      <xdr:rowOff>19050</xdr:rowOff>
    </xdr:from>
    <xdr:to>
      <xdr:col>1</xdr:col>
      <xdr:colOff>485775</xdr:colOff>
      <xdr:row>58</xdr:row>
      <xdr:rowOff>666750</xdr:rowOff>
    </xdr:to>
    <xdr:pic>
      <xdr:nvPicPr>
        <xdr:cNvPr id="773979" name="Grafik 265" descr="050_EBC_Willi_Schatten.gif">
          <a:extLst>
            <a:ext uri="{FF2B5EF4-FFF2-40B4-BE49-F238E27FC236}">
              <a16:creationId xmlns:a16="http://schemas.microsoft.com/office/drawing/2014/main" id="{00000000-0008-0000-1000-00005B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9243000"/>
          <a:ext cx="466725" cy="647700"/>
        </a:xfrm>
        <a:prstGeom prst="rect">
          <a:avLst/>
        </a:prstGeom>
        <a:noFill/>
        <a:ln w="9525">
          <a:noFill/>
          <a:miter lim="800000"/>
          <a:headEnd/>
          <a:tailEnd/>
        </a:ln>
      </xdr:spPr>
    </xdr:pic>
    <xdr:clientData/>
  </xdr:twoCellAnchor>
  <xdr:twoCellAnchor editAs="oneCell">
    <xdr:from>
      <xdr:col>1</xdr:col>
      <xdr:colOff>19050</xdr:colOff>
      <xdr:row>59</xdr:row>
      <xdr:rowOff>19050</xdr:rowOff>
    </xdr:from>
    <xdr:to>
      <xdr:col>1</xdr:col>
      <xdr:colOff>485775</xdr:colOff>
      <xdr:row>59</xdr:row>
      <xdr:rowOff>666750</xdr:rowOff>
    </xdr:to>
    <xdr:pic>
      <xdr:nvPicPr>
        <xdr:cNvPr id="773980" name="Grafik 266" descr="060_EBC_Willi_Schatten.gif">
          <a:extLst>
            <a:ext uri="{FF2B5EF4-FFF2-40B4-BE49-F238E27FC236}">
              <a16:creationId xmlns:a16="http://schemas.microsoft.com/office/drawing/2014/main" id="{00000000-0008-0000-1000-00005C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39919275"/>
          <a:ext cx="466725" cy="647700"/>
        </a:xfrm>
        <a:prstGeom prst="rect">
          <a:avLst/>
        </a:prstGeom>
        <a:noFill/>
        <a:ln w="9525">
          <a:noFill/>
          <a:miter lim="800000"/>
          <a:headEnd/>
          <a:tailEnd/>
        </a:ln>
      </xdr:spPr>
    </xdr:pic>
    <xdr:clientData/>
  </xdr:twoCellAnchor>
  <xdr:twoCellAnchor editAs="oneCell">
    <xdr:from>
      <xdr:col>1</xdr:col>
      <xdr:colOff>19050</xdr:colOff>
      <xdr:row>60</xdr:row>
      <xdr:rowOff>19050</xdr:rowOff>
    </xdr:from>
    <xdr:to>
      <xdr:col>1</xdr:col>
      <xdr:colOff>485775</xdr:colOff>
      <xdr:row>60</xdr:row>
      <xdr:rowOff>666750</xdr:rowOff>
    </xdr:to>
    <xdr:pic>
      <xdr:nvPicPr>
        <xdr:cNvPr id="773981" name="Grafik 267" descr="060_EBC_Willi_Schatten.gif">
          <a:extLst>
            <a:ext uri="{FF2B5EF4-FFF2-40B4-BE49-F238E27FC236}">
              <a16:creationId xmlns:a16="http://schemas.microsoft.com/office/drawing/2014/main" id="{00000000-0008-0000-1000-00005D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0595550"/>
          <a:ext cx="466725" cy="647700"/>
        </a:xfrm>
        <a:prstGeom prst="rect">
          <a:avLst/>
        </a:prstGeom>
        <a:noFill/>
        <a:ln w="9525">
          <a:noFill/>
          <a:miter lim="800000"/>
          <a:headEnd/>
          <a:tailEnd/>
        </a:ln>
      </xdr:spPr>
    </xdr:pic>
    <xdr:clientData/>
  </xdr:twoCellAnchor>
  <xdr:twoCellAnchor editAs="oneCell">
    <xdr:from>
      <xdr:col>1</xdr:col>
      <xdr:colOff>19050</xdr:colOff>
      <xdr:row>61</xdr:row>
      <xdr:rowOff>19050</xdr:rowOff>
    </xdr:from>
    <xdr:to>
      <xdr:col>1</xdr:col>
      <xdr:colOff>485775</xdr:colOff>
      <xdr:row>61</xdr:row>
      <xdr:rowOff>666750</xdr:rowOff>
    </xdr:to>
    <xdr:pic>
      <xdr:nvPicPr>
        <xdr:cNvPr id="773982" name="Grafik 268" descr="060_EBC_Willi_Schatten.gif">
          <a:extLst>
            <a:ext uri="{FF2B5EF4-FFF2-40B4-BE49-F238E27FC236}">
              <a16:creationId xmlns:a16="http://schemas.microsoft.com/office/drawing/2014/main" id="{00000000-0008-0000-1000-00005E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1271825"/>
          <a:ext cx="466725" cy="647700"/>
        </a:xfrm>
        <a:prstGeom prst="rect">
          <a:avLst/>
        </a:prstGeom>
        <a:noFill/>
        <a:ln w="9525">
          <a:noFill/>
          <a:miter lim="800000"/>
          <a:headEnd/>
          <a:tailEnd/>
        </a:ln>
      </xdr:spPr>
    </xdr:pic>
    <xdr:clientData/>
  </xdr:twoCellAnchor>
  <xdr:twoCellAnchor editAs="oneCell">
    <xdr:from>
      <xdr:col>1</xdr:col>
      <xdr:colOff>19050</xdr:colOff>
      <xdr:row>62</xdr:row>
      <xdr:rowOff>19050</xdr:rowOff>
    </xdr:from>
    <xdr:to>
      <xdr:col>1</xdr:col>
      <xdr:colOff>485775</xdr:colOff>
      <xdr:row>62</xdr:row>
      <xdr:rowOff>666750</xdr:rowOff>
    </xdr:to>
    <xdr:pic>
      <xdr:nvPicPr>
        <xdr:cNvPr id="773983" name="Grafik 269" descr="060_EBC_Willi_Schatten.gif">
          <a:extLst>
            <a:ext uri="{FF2B5EF4-FFF2-40B4-BE49-F238E27FC236}">
              <a16:creationId xmlns:a16="http://schemas.microsoft.com/office/drawing/2014/main" id="{00000000-0008-0000-1000-00005F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1948100"/>
          <a:ext cx="466725" cy="647700"/>
        </a:xfrm>
        <a:prstGeom prst="rect">
          <a:avLst/>
        </a:prstGeom>
        <a:noFill/>
        <a:ln w="9525">
          <a:noFill/>
          <a:miter lim="800000"/>
          <a:headEnd/>
          <a:tailEnd/>
        </a:ln>
      </xdr:spPr>
    </xdr:pic>
    <xdr:clientData/>
  </xdr:twoCellAnchor>
  <xdr:twoCellAnchor editAs="oneCell">
    <xdr:from>
      <xdr:col>1</xdr:col>
      <xdr:colOff>19050</xdr:colOff>
      <xdr:row>63</xdr:row>
      <xdr:rowOff>19050</xdr:rowOff>
    </xdr:from>
    <xdr:to>
      <xdr:col>1</xdr:col>
      <xdr:colOff>485775</xdr:colOff>
      <xdr:row>63</xdr:row>
      <xdr:rowOff>666750</xdr:rowOff>
    </xdr:to>
    <xdr:pic>
      <xdr:nvPicPr>
        <xdr:cNvPr id="773984" name="Grafik 270" descr="060_EBC_Willi_Schatten.gif">
          <a:extLst>
            <a:ext uri="{FF2B5EF4-FFF2-40B4-BE49-F238E27FC236}">
              <a16:creationId xmlns:a16="http://schemas.microsoft.com/office/drawing/2014/main" id="{00000000-0008-0000-1000-000060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2624375"/>
          <a:ext cx="466725" cy="647700"/>
        </a:xfrm>
        <a:prstGeom prst="rect">
          <a:avLst/>
        </a:prstGeom>
        <a:noFill/>
        <a:ln w="9525">
          <a:noFill/>
          <a:miter lim="800000"/>
          <a:headEnd/>
          <a:tailEnd/>
        </a:ln>
      </xdr:spPr>
    </xdr:pic>
    <xdr:clientData/>
  </xdr:twoCellAnchor>
  <xdr:twoCellAnchor editAs="oneCell">
    <xdr:from>
      <xdr:col>1</xdr:col>
      <xdr:colOff>19050</xdr:colOff>
      <xdr:row>64</xdr:row>
      <xdr:rowOff>19050</xdr:rowOff>
    </xdr:from>
    <xdr:to>
      <xdr:col>1</xdr:col>
      <xdr:colOff>485775</xdr:colOff>
      <xdr:row>64</xdr:row>
      <xdr:rowOff>666750</xdr:rowOff>
    </xdr:to>
    <xdr:pic>
      <xdr:nvPicPr>
        <xdr:cNvPr id="773985" name="Grafik 271" descr="060_EBC_Willi_Schatten.gif">
          <a:extLst>
            <a:ext uri="{FF2B5EF4-FFF2-40B4-BE49-F238E27FC236}">
              <a16:creationId xmlns:a16="http://schemas.microsoft.com/office/drawing/2014/main" id="{00000000-0008-0000-1000-000061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3300650"/>
          <a:ext cx="466725" cy="647700"/>
        </a:xfrm>
        <a:prstGeom prst="rect">
          <a:avLst/>
        </a:prstGeom>
        <a:noFill/>
        <a:ln w="9525">
          <a:noFill/>
          <a:miter lim="800000"/>
          <a:headEnd/>
          <a:tailEnd/>
        </a:ln>
      </xdr:spPr>
    </xdr:pic>
    <xdr:clientData/>
  </xdr:twoCellAnchor>
  <xdr:twoCellAnchor editAs="oneCell">
    <xdr:from>
      <xdr:col>1</xdr:col>
      <xdr:colOff>19050</xdr:colOff>
      <xdr:row>65</xdr:row>
      <xdr:rowOff>19050</xdr:rowOff>
    </xdr:from>
    <xdr:to>
      <xdr:col>1</xdr:col>
      <xdr:colOff>485775</xdr:colOff>
      <xdr:row>65</xdr:row>
      <xdr:rowOff>666750</xdr:rowOff>
    </xdr:to>
    <xdr:pic>
      <xdr:nvPicPr>
        <xdr:cNvPr id="773986" name="Grafik 272" descr="060_EBC_Willi_Schatten.gif">
          <a:extLst>
            <a:ext uri="{FF2B5EF4-FFF2-40B4-BE49-F238E27FC236}">
              <a16:creationId xmlns:a16="http://schemas.microsoft.com/office/drawing/2014/main" id="{00000000-0008-0000-1000-000062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3976925"/>
          <a:ext cx="466725" cy="647700"/>
        </a:xfrm>
        <a:prstGeom prst="rect">
          <a:avLst/>
        </a:prstGeom>
        <a:noFill/>
        <a:ln w="9525">
          <a:noFill/>
          <a:miter lim="800000"/>
          <a:headEnd/>
          <a:tailEnd/>
        </a:ln>
      </xdr:spPr>
    </xdr:pic>
    <xdr:clientData/>
  </xdr:twoCellAnchor>
  <xdr:twoCellAnchor editAs="oneCell">
    <xdr:from>
      <xdr:col>1</xdr:col>
      <xdr:colOff>19050</xdr:colOff>
      <xdr:row>66</xdr:row>
      <xdr:rowOff>19050</xdr:rowOff>
    </xdr:from>
    <xdr:to>
      <xdr:col>1</xdr:col>
      <xdr:colOff>485775</xdr:colOff>
      <xdr:row>66</xdr:row>
      <xdr:rowOff>666750</xdr:rowOff>
    </xdr:to>
    <xdr:pic>
      <xdr:nvPicPr>
        <xdr:cNvPr id="773987" name="Grafik 273" descr="060_EBC_Willi_Schatten.gif">
          <a:extLst>
            <a:ext uri="{FF2B5EF4-FFF2-40B4-BE49-F238E27FC236}">
              <a16:creationId xmlns:a16="http://schemas.microsoft.com/office/drawing/2014/main" id="{00000000-0008-0000-1000-000063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4653200"/>
          <a:ext cx="466725" cy="647700"/>
        </a:xfrm>
        <a:prstGeom prst="rect">
          <a:avLst/>
        </a:prstGeom>
        <a:noFill/>
        <a:ln w="9525">
          <a:noFill/>
          <a:miter lim="800000"/>
          <a:headEnd/>
          <a:tailEnd/>
        </a:ln>
      </xdr:spPr>
    </xdr:pic>
    <xdr:clientData/>
  </xdr:twoCellAnchor>
  <xdr:twoCellAnchor editAs="oneCell">
    <xdr:from>
      <xdr:col>1</xdr:col>
      <xdr:colOff>19050</xdr:colOff>
      <xdr:row>67</xdr:row>
      <xdr:rowOff>19050</xdr:rowOff>
    </xdr:from>
    <xdr:to>
      <xdr:col>1</xdr:col>
      <xdr:colOff>485775</xdr:colOff>
      <xdr:row>67</xdr:row>
      <xdr:rowOff>666750</xdr:rowOff>
    </xdr:to>
    <xdr:pic>
      <xdr:nvPicPr>
        <xdr:cNvPr id="773988" name="Grafik 274" descr="060_EBC_Willi_Schatten.gif">
          <a:extLst>
            <a:ext uri="{FF2B5EF4-FFF2-40B4-BE49-F238E27FC236}">
              <a16:creationId xmlns:a16="http://schemas.microsoft.com/office/drawing/2014/main" id="{00000000-0008-0000-1000-000064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5329475"/>
          <a:ext cx="466725" cy="647700"/>
        </a:xfrm>
        <a:prstGeom prst="rect">
          <a:avLst/>
        </a:prstGeom>
        <a:noFill/>
        <a:ln w="9525">
          <a:noFill/>
          <a:miter lim="800000"/>
          <a:headEnd/>
          <a:tailEnd/>
        </a:ln>
      </xdr:spPr>
    </xdr:pic>
    <xdr:clientData/>
  </xdr:twoCellAnchor>
  <xdr:twoCellAnchor editAs="oneCell">
    <xdr:from>
      <xdr:col>1</xdr:col>
      <xdr:colOff>19050</xdr:colOff>
      <xdr:row>68</xdr:row>
      <xdr:rowOff>19050</xdr:rowOff>
    </xdr:from>
    <xdr:to>
      <xdr:col>1</xdr:col>
      <xdr:colOff>485775</xdr:colOff>
      <xdr:row>68</xdr:row>
      <xdr:rowOff>666750</xdr:rowOff>
    </xdr:to>
    <xdr:pic>
      <xdr:nvPicPr>
        <xdr:cNvPr id="773989" name="Grafik 275" descr="060_EBC_Willi_Schatten.gif">
          <a:extLst>
            <a:ext uri="{FF2B5EF4-FFF2-40B4-BE49-F238E27FC236}">
              <a16:creationId xmlns:a16="http://schemas.microsoft.com/office/drawing/2014/main" id="{00000000-0008-0000-1000-000065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6005750"/>
          <a:ext cx="466725" cy="647700"/>
        </a:xfrm>
        <a:prstGeom prst="rect">
          <a:avLst/>
        </a:prstGeom>
        <a:noFill/>
        <a:ln w="9525">
          <a:noFill/>
          <a:miter lim="800000"/>
          <a:headEnd/>
          <a:tailEnd/>
        </a:ln>
      </xdr:spPr>
    </xdr:pic>
    <xdr:clientData/>
  </xdr:twoCellAnchor>
  <xdr:twoCellAnchor editAs="oneCell">
    <xdr:from>
      <xdr:col>1</xdr:col>
      <xdr:colOff>19050</xdr:colOff>
      <xdr:row>69</xdr:row>
      <xdr:rowOff>19050</xdr:rowOff>
    </xdr:from>
    <xdr:to>
      <xdr:col>1</xdr:col>
      <xdr:colOff>485775</xdr:colOff>
      <xdr:row>69</xdr:row>
      <xdr:rowOff>666750</xdr:rowOff>
    </xdr:to>
    <xdr:pic>
      <xdr:nvPicPr>
        <xdr:cNvPr id="773990" name="Grafik 276" descr="060_EBC_Willi_Schatten.gif">
          <a:extLst>
            <a:ext uri="{FF2B5EF4-FFF2-40B4-BE49-F238E27FC236}">
              <a16:creationId xmlns:a16="http://schemas.microsoft.com/office/drawing/2014/main" id="{00000000-0008-0000-1000-000066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6682025"/>
          <a:ext cx="466725" cy="647700"/>
        </a:xfrm>
        <a:prstGeom prst="rect">
          <a:avLst/>
        </a:prstGeom>
        <a:noFill/>
        <a:ln w="9525">
          <a:noFill/>
          <a:miter lim="800000"/>
          <a:headEnd/>
          <a:tailEnd/>
        </a:ln>
      </xdr:spPr>
    </xdr:pic>
    <xdr:clientData/>
  </xdr:twoCellAnchor>
  <xdr:twoCellAnchor editAs="oneCell">
    <xdr:from>
      <xdr:col>1</xdr:col>
      <xdr:colOff>19050</xdr:colOff>
      <xdr:row>70</xdr:row>
      <xdr:rowOff>19050</xdr:rowOff>
    </xdr:from>
    <xdr:to>
      <xdr:col>1</xdr:col>
      <xdr:colOff>485775</xdr:colOff>
      <xdr:row>70</xdr:row>
      <xdr:rowOff>666750</xdr:rowOff>
    </xdr:to>
    <xdr:pic>
      <xdr:nvPicPr>
        <xdr:cNvPr id="773991" name="Grafik 277" descr="060_EBC_Willi_Schatten.gif">
          <a:extLst>
            <a:ext uri="{FF2B5EF4-FFF2-40B4-BE49-F238E27FC236}">
              <a16:creationId xmlns:a16="http://schemas.microsoft.com/office/drawing/2014/main" id="{00000000-0008-0000-1000-000067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7358300"/>
          <a:ext cx="466725" cy="647700"/>
        </a:xfrm>
        <a:prstGeom prst="rect">
          <a:avLst/>
        </a:prstGeom>
        <a:noFill/>
        <a:ln w="9525">
          <a:noFill/>
          <a:miter lim="800000"/>
          <a:headEnd/>
          <a:tailEnd/>
        </a:ln>
      </xdr:spPr>
    </xdr:pic>
    <xdr:clientData/>
  </xdr:twoCellAnchor>
  <xdr:twoCellAnchor editAs="oneCell">
    <xdr:from>
      <xdr:col>1</xdr:col>
      <xdr:colOff>19050</xdr:colOff>
      <xdr:row>71</xdr:row>
      <xdr:rowOff>19050</xdr:rowOff>
    </xdr:from>
    <xdr:to>
      <xdr:col>1</xdr:col>
      <xdr:colOff>485775</xdr:colOff>
      <xdr:row>71</xdr:row>
      <xdr:rowOff>666750</xdr:rowOff>
    </xdr:to>
    <xdr:pic>
      <xdr:nvPicPr>
        <xdr:cNvPr id="773992" name="Grafik 278" descr="060_EBC_Willi_Schatten.gif">
          <a:extLst>
            <a:ext uri="{FF2B5EF4-FFF2-40B4-BE49-F238E27FC236}">
              <a16:creationId xmlns:a16="http://schemas.microsoft.com/office/drawing/2014/main" id="{00000000-0008-0000-1000-000068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8034575"/>
          <a:ext cx="466725" cy="647700"/>
        </a:xfrm>
        <a:prstGeom prst="rect">
          <a:avLst/>
        </a:prstGeom>
        <a:noFill/>
        <a:ln w="9525">
          <a:noFill/>
          <a:miter lim="800000"/>
          <a:headEnd/>
          <a:tailEnd/>
        </a:ln>
      </xdr:spPr>
    </xdr:pic>
    <xdr:clientData/>
  </xdr:twoCellAnchor>
  <xdr:twoCellAnchor editAs="oneCell">
    <xdr:from>
      <xdr:col>1</xdr:col>
      <xdr:colOff>19050</xdr:colOff>
      <xdr:row>72</xdr:row>
      <xdr:rowOff>19050</xdr:rowOff>
    </xdr:from>
    <xdr:to>
      <xdr:col>1</xdr:col>
      <xdr:colOff>485775</xdr:colOff>
      <xdr:row>72</xdr:row>
      <xdr:rowOff>666750</xdr:rowOff>
    </xdr:to>
    <xdr:pic>
      <xdr:nvPicPr>
        <xdr:cNvPr id="773993" name="Grafik 279" descr="060_EBC_Willi_Schatten.gif">
          <a:extLst>
            <a:ext uri="{FF2B5EF4-FFF2-40B4-BE49-F238E27FC236}">
              <a16:creationId xmlns:a16="http://schemas.microsoft.com/office/drawing/2014/main" id="{00000000-0008-0000-1000-000069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8710850"/>
          <a:ext cx="466725" cy="647700"/>
        </a:xfrm>
        <a:prstGeom prst="rect">
          <a:avLst/>
        </a:prstGeom>
        <a:noFill/>
        <a:ln w="9525">
          <a:noFill/>
          <a:miter lim="800000"/>
          <a:headEnd/>
          <a:tailEnd/>
        </a:ln>
      </xdr:spPr>
    </xdr:pic>
    <xdr:clientData/>
  </xdr:twoCellAnchor>
  <xdr:twoCellAnchor editAs="oneCell">
    <xdr:from>
      <xdr:col>1</xdr:col>
      <xdr:colOff>19050</xdr:colOff>
      <xdr:row>73</xdr:row>
      <xdr:rowOff>19050</xdr:rowOff>
    </xdr:from>
    <xdr:to>
      <xdr:col>1</xdr:col>
      <xdr:colOff>485775</xdr:colOff>
      <xdr:row>73</xdr:row>
      <xdr:rowOff>666750</xdr:rowOff>
    </xdr:to>
    <xdr:pic>
      <xdr:nvPicPr>
        <xdr:cNvPr id="773994" name="Grafik 280" descr="060_EBC_Willi_Schatten.gif">
          <a:extLst>
            <a:ext uri="{FF2B5EF4-FFF2-40B4-BE49-F238E27FC236}">
              <a16:creationId xmlns:a16="http://schemas.microsoft.com/office/drawing/2014/main" id="{00000000-0008-0000-1000-00006A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9387125"/>
          <a:ext cx="466725" cy="647700"/>
        </a:xfrm>
        <a:prstGeom prst="rect">
          <a:avLst/>
        </a:prstGeom>
        <a:noFill/>
        <a:ln w="9525">
          <a:noFill/>
          <a:miter lim="800000"/>
          <a:headEnd/>
          <a:tailEnd/>
        </a:ln>
      </xdr:spPr>
    </xdr:pic>
    <xdr:clientData/>
  </xdr:twoCellAnchor>
  <xdr:twoCellAnchor editAs="oneCell">
    <xdr:from>
      <xdr:col>1</xdr:col>
      <xdr:colOff>19050</xdr:colOff>
      <xdr:row>74</xdr:row>
      <xdr:rowOff>19050</xdr:rowOff>
    </xdr:from>
    <xdr:to>
      <xdr:col>1</xdr:col>
      <xdr:colOff>485775</xdr:colOff>
      <xdr:row>74</xdr:row>
      <xdr:rowOff>666750</xdr:rowOff>
    </xdr:to>
    <xdr:pic>
      <xdr:nvPicPr>
        <xdr:cNvPr id="773995" name="Grafik 281" descr="060_EBC_Willi_Schatten.gif">
          <a:extLst>
            <a:ext uri="{FF2B5EF4-FFF2-40B4-BE49-F238E27FC236}">
              <a16:creationId xmlns:a16="http://schemas.microsoft.com/office/drawing/2014/main" id="{00000000-0008-0000-1000-00006B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0063400"/>
          <a:ext cx="466725" cy="647700"/>
        </a:xfrm>
        <a:prstGeom prst="rect">
          <a:avLst/>
        </a:prstGeom>
        <a:noFill/>
        <a:ln w="9525">
          <a:noFill/>
          <a:miter lim="800000"/>
          <a:headEnd/>
          <a:tailEnd/>
        </a:ln>
      </xdr:spPr>
    </xdr:pic>
    <xdr:clientData/>
  </xdr:twoCellAnchor>
  <xdr:twoCellAnchor editAs="oneCell">
    <xdr:from>
      <xdr:col>1</xdr:col>
      <xdr:colOff>19050</xdr:colOff>
      <xdr:row>75</xdr:row>
      <xdr:rowOff>19050</xdr:rowOff>
    </xdr:from>
    <xdr:to>
      <xdr:col>1</xdr:col>
      <xdr:colOff>485775</xdr:colOff>
      <xdr:row>75</xdr:row>
      <xdr:rowOff>666750</xdr:rowOff>
    </xdr:to>
    <xdr:pic>
      <xdr:nvPicPr>
        <xdr:cNvPr id="773996" name="Grafik 282" descr="060_EBC_Willi_Schatten.gif">
          <a:extLst>
            <a:ext uri="{FF2B5EF4-FFF2-40B4-BE49-F238E27FC236}">
              <a16:creationId xmlns:a16="http://schemas.microsoft.com/office/drawing/2014/main" id="{00000000-0008-0000-1000-00006C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0739675"/>
          <a:ext cx="466725" cy="647700"/>
        </a:xfrm>
        <a:prstGeom prst="rect">
          <a:avLst/>
        </a:prstGeom>
        <a:noFill/>
        <a:ln w="9525">
          <a:noFill/>
          <a:miter lim="800000"/>
          <a:headEnd/>
          <a:tailEnd/>
        </a:ln>
      </xdr:spPr>
    </xdr:pic>
    <xdr:clientData/>
  </xdr:twoCellAnchor>
  <xdr:twoCellAnchor editAs="oneCell">
    <xdr:from>
      <xdr:col>1</xdr:col>
      <xdr:colOff>19050</xdr:colOff>
      <xdr:row>76</xdr:row>
      <xdr:rowOff>19050</xdr:rowOff>
    </xdr:from>
    <xdr:to>
      <xdr:col>1</xdr:col>
      <xdr:colOff>485775</xdr:colOff>
      <xdr:row>76</xdr:row>
      <xdr:rowOff>666750</xdr:rowOff>
    </xdr:to>
    <xdr:pic>
      <xdr:nvPicPr>
        <xdr:cNvPr id="773997" name="Grafik 283" descr="060_EBC_Willi_Schatten.gif">
          <a:extLst>
            <a:ext uri="{FF2B5EF4-FFF2-40B4-BE49-F238E27FC236}">
              <a16:creationId xmlns:a16="http://schemas.microsoft.com/office/drawing/2014/main" id="{00000000-0008-0000-1000-00006D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1415950"/>
          <a:ext cx="466725" cy="647700"/>
        </a:xfrm>
        <a:prstGeom prst="rect">
          <a:avLst/>
        </a:prstGeom>
        <a:noFill/>
        <a:ln w="9525">
          <a:noFill/>
          <a:miter lim="800000"/>
          <a:headEnd/>
          <a:tailEnd/>
        </a:ln>
      </xdr:spPr>
    </xdr:pic>
    <xdr:clientData/>
  </xdr:twoCellAnchor>
  <xdr:twoCellAnchor editAs="oneCell">
    <xdr:from>
      <xdr:col>1</xdr:col>
      <xdr:colOff>19050</xdr:colOff>
      <xdr:row>77</xdr:row>
      <xdr:rowOff>19050</xdr:rowOff>
    </xdr:from>
    <xdr:to>
      <xdr:col>1</xdr:col>
      <xdr:colOff>485775</xdr:colOff>
      <xdr:row>77</xdr:row>
      <xdr:rowOff>666750</xdr:rowOff>
    </xdr:to>
    <xdr:pic>
      <xdr:nvPicPr>
        <xdr:cNvPr id="773998" name="Grafik 284" descr="060_EBC_Willi_Schatten.gif">
          <a:extLst>
            <a:ext uri="{FF2B5EF4-FFF2-40B4-BE49-F238E27FC236}">
              <a16:creationId xmlns:a16="http://schemas.microsoft.com/office/drawing/2014/main" id="{00000000-0008-0000-1000-00006E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2092225"/>
          <a:ext cx="466725" cy="647700"/>
        </a:xfrm>
        <a:prstGeom prst="rect">
          <a:avLst/>
        </a:prstGeom>
        <a:noFill/>
        <a:ln w="9525">
          <a:noFill/>
          <a:miter lim="800000"/>
          <a:headEnd/>
          <a:tailEnd/>
        </a:ln>
      </xdr:spPr>
    </xdr:pic>
    <xdr:clientData/>
  </xdr:twoCellAnchor>
  <xdr:twoCellAnchor editAs="oneCell">
    <xdr:from>
      <xdr:col>1</xdr:col>
      <xdr:colOff>19050</xdr:colOff>
      <xdr:row>78</xdr:row>
      <xdr:rowOff>19050</xdr:rowOff>
    </xdr:from>
    <xdr:to>
      <xdr:col>1</xdr:col>
      <xdr:colOff>485775</xdr:colOff>
      <xdr:row>78</xdr:row>
      <xdr:rowOff>666750</xdr:rowOff>
    </xdr:to>
    <xdr:pic>
      <xdr:nvPicPr>
        <xdr:cNvPr id="773999" name="Grafik 285" descr="060_EBC_Willi_Schatten.gif">
          <a:extLst>
            <a:ext uri="{FF2B5EF4-FFF2-40B4-BE49-F238E27FC236}">
              <a16:creationId xmlns:a16="http://schemas.microsoft.com/office/drawing/2014/main" id="{00000000-0008-0000-1000-00006F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2768500"/>
          <a:ext cx="466725" cy="647700"/>
        </a:xfrm>
        <a:prstGeom prst="rect">
          <a:avLst/>
        </a:prstGeom>
        <a:noFill/>
        <a:ln w="9525">
          <a:noFill/>
          <a:miter lim="800000"/>
          <a:headEnd/>
          <a:tailEnd/>
        </a:ln>
      </xdr:spPr>
    </xdr:pic>
    <xdr:clientData/>
  </xdr:twoCellAnchor>
  <xdr:twoCellAnchor editAs="oneCell">
    <xdr:from>
      <xdr:col>1</xdr:col>
      <xdr:colOff>19050</xdr:colOff>
      <xdr:row>79</xdr:row>
      <xdr:rowOff>19050</xdr:rowOff>
    </xdr:from>
    <xdr:to>
      <xdr:col>1</xdr:col>
      <xdr:colOff>485775</xdr:colOff>
      <xdr:row>79</xdr:row>
      <xdr:rowOff>666750</xdr:rowOff>
    </xdr:to>
    <xdr:pic>
      <xdr:nvPicPr>
        <xdr:cNvPr id="774000" name="Grafik 286" descr="080_EBC_Willi_Schatten.gif">
          <a:extLst>
            <a:ext uri="{FF2B5EF4-FFF2-40B4-BE49-F238E27FC236}">
              <a16:creationId xmlns:a16="http://schemas.microsoft.com/office/drawing/2014/main" id="{00000000-0008-0000-1000-000070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3444775"/>
          <a:ext cx="466725" cy="647700"/>
        </a:xfrm>
        <a:prstGeom prst="rect">
          <a:avLst/>
        </a:prstGeom>
        <a:noFill/>
        <a:ln w="9525">
          <a:noFill/>
          <a:miter lim="800000"/>
          <a:headEnd/>
          <a:tailEnd/>
        </a:ln>
      </xdr:spPr>
    </xdr:pic>
    <xdr:clientData/>
  </xdr:twoCellAnchor>
  <xdr:twoCellAnchor editAs="oneCell">
    <xdr:from>
      <xdr:col>1</xdr:col>
      <xdr:colOff>19050</xdr:colOff>
      <xdr:row>80</xdr:row>
      <xdr:rowOff>19050</xdr:rowOff>
    </xdr:from>
    <xdr:to>
      <xdr:col>1</xdr:col>
      <xdr:colOff>485775</xdr:colOff>
      <xdr:row>80</xdr:row>
      <xdr:rowOff>666750</xdr:rowOff>
    </xdr:to>
    <xdr:pic>
      <xdr:nvPicPr>
        <xdr:cNvPr id="774001" name="Grafik 287" descr="080_EBC_Willi_Schatten.gif">
          <a:extLst>
            <a:ext uri="{FF2B5EF4-FFF2-40B4-BE49-F238E27FC236}">
              <a16:creationId xmlns:a16="http://schemas.microsoft.com/office/drawing/2014/main" id="{00000000-0008-0000-1000-000071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4121050"/>
          <a:ext cx="466725" cy="647700"/>
        </a:xfrm>
        <a:prstGeom prst="rect">
          <a:avLst/>
        </a:prstGeom>
        <a:noFill/>
        <a:ln w="9525">
          <a:noFill/>
          <a:miter lim="800000"/>
          <a:headEnd/>
          <a:tailEnd/>
        </a:ln>
      </xdr:spPr>
    </xdr:pic>
    <xdr:clientData/>
  </xdr:twoCellAnchor>
  <xdr:twoCellAnchor editAs="oneCell">
    <xdr:from>
      <xdr:col>1</xdr:col>
      <xdr:colOff>19050</xdr:colOff>
      <xdr:row>81</xdr:row>
      <xdr:rowOff>19050</xdr:rowOff>
    </xdr:from>
    <xdr:to>
      <xdr:col>1</xdr:col>
      <xdr:colOff>485775</xdr:colOff>
      <xdr:row>81</xdr:row>
      <xdr:rowOff>666750</xdr:rowOff>
    </xdr:to>
    <xdr:pic>
      <xdr:nvPicPr>
        <xdr:cNvPr id="774002" name="Grafik 288" descr="080_EBC_Willi_Schatten.gif">
          <a:extLst>
            <a:ext uri="{FF2B5EF4-FFF2-40B4-BE49-F238E27FC236}">
              <a16:creationId xmlns:a16="http://schemas.microsoft.com/office/drawing/2014/main" id="{00000000-0008-0000-1000-000072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4797325"/>
          <a:ext cx="466725" cy="647700"/>
        </a:xfrm>
        <a:prstGeom prst="rect">
          <a:avLst/>
        </a:prstGeom>
        <a:noFill/>
        <a:ln w="9525">
          <a:noFill/>
          <a:miter lim="800000"/>
          <a:headEnd/>
          <a:tailEnd/>
        </a:ln>
      </xdr:spPr>
    </xdr:pic>
    <xdr:clientData/>
  </xdr:twoCellAnchor>
  <xdr:twoCellAnchor editAs="oneCell">
    <xdr:from>
      <xdr:col>1</xdr:col>
      <xdr:colOff>19050</xdr:colOff>
      <xdr:row>82</xdr:row>
      <xdr:rowOff>19050</xdr:rowOff>
    </xdr:from>
    <xdr:to>
      <xdr:col>1</xdr:col>
      <xdr:colOff>485775</xdr:colOff>
      <xdr:row>82</xdr:row>
      <xdr:rowOff>666750</xdr:rowOff>
    </xdr:to>
    <xdr:pic>
      <xdr:nvPicPr>
        <xdr:cNvPr id="774003" name="Grafik 289" descr="080_EBC_Willi_Schatten.gif">
          <a:extLst>
            <a:ext uri="{FF2B5EF4-FFF2-40B4-BE49-F238E27FC236}">
              <a16:creationId xmlns:a16="http://schemas.microsoft.com/office/drawing/2014/main" id="{00000000-0008-0000-1000-000073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5473600"/>
          <a:ext cx="466725" cy="647700"/>
        </a:xfrm>
        <a:prstGeom prst="rect">
          <a:avLst/>
        </a:prstGeom>
        <a:noFill/>
        <a:ln w="9525">
          <a:noFill/>
          <a:miter lim="800000"/>
          <a:headEnd/>
          <a:tailEnd/>
        </a:ln>
      </xdr:spPr>
    </xdr:pic>
    <xdr:clientData/>
  </xdr:twoCellAnchor>
  <xdr:twoCellAnchor editAs="oneCell">
    <xdr:from>
      <xdr:col>1</xdr:col>
      <xdr:colOff>19050</xdr:colOff>
      <xdr:row>83</xdr:row>
      <xdr:rowOff>19050</xdr:rowOff>
    </xdr:from>
    <xdr:to>
      <xdr:col>1</xdr:col>
      <xdr:colOff>485775</xdr:colOff>
      <xdr:row>83</xdr:row>
      <xdr:rowOff>666750</xdr:rowOff>
    </xdr:to>
    <xdr:pic>
      <xdr:nvPicPr>
        <xdr:cNvPr id="774004" name="Grafik 290" descr="080_EBC_Willi_Schatten.gif">
          <a:extLst>
            <a:ext uri="{FF2B5EF4-FFF2-40B4-BE49-F238E27FC236}">
              <a16:creationId xmlns:a16="http://schemas.microsoft.com/office/drawing/2014/main" id="{00000000-0008-0000-1000-000074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6149875"/>
          <a:ext cx="466725" cy="647700"/>
        </a:xfrm>
        <a:prstGeom prst="rect">
          <a:avLst/>
        </a:prstGeom>
        <a:noFill/>
        <a:ln w="9525">
          <a:noFill/>
          <a:miter lim="800000"/>
          <a:headEnd/>
          <a:tailEnd/>
        </a:ln>
      </xdr:spPr>
    </xdr:pic>
    <xdr:clientData/>
  </xdr:twoCellAnchor>
  <xdr:twoCellAnchor editAs="oneCell">
    <xdr:from>
      <xdr:col>1</xdr:col>
      <xdr:colOff>19050</xdr:colOff>
      <xdr:row>84</xdr:row>
      <xdr:rowOff>19050</xdr:rowOff>
    </xdr:from>
    <xdr:to>
      <xdr:col>1</xdr:col>
      <xdr:colOff>485775</xdr:colOff>
      <xdr:row>84</xdr:row>
      <xdr:rowOff>666750</xdr:rowOff>
    </xdr:to>
    <xdr:pic>
      <xdr:nvPicPr>
        <xdr:cNvPr id="774005" name="Grafik 291" descr="080_EBC_Willi_Schatten.gif">
          <a:extLst>
            <a:ext uri="{FF2B5EF4-FFF2-40B4-BE49-F238E27FC236}">
              <a16:creationId xmlns:a16="http://schemas.microsoft.com/office/drawing/2014/main" id="{00000000-0008-0000-1000-000075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6826150"/>
          <a:ext cx="466725" cy="647700"/>
        </a:xfrm>
        <a:prstGeom prst="rect">
          <a:avLst/>
        </a:prstGeom>
        <a:noFill/>
        <a:ln w="9525">
          <a:noFill/>
          <a:miter lim="800000"/>
          <a:headEnd/>
          <a:tailEnd/>
        </a:ln>
      </xdr:spPr>
    </xdr:pic>
    <xdr:clientData/>
  </xdr:twoCellAnchor>
  <xdr:twoCellAnchor editAs="oneCell">
    <xdr:from>
      <xdr:col>1</xdr:col>
      <xdr:colOff>19050</xdr:colOff>
      <xdr:row>85</xdr:row>
      <xdr:rowOff>19050</xdr:rowOff>
    </xdr:from>
    <xdr:to>
      <xdr:col>1</xdr:col>
      <xdr:colOff>485775</xdr:colOff>
      <xdr:row>85</xdr:row>
      <xdr:rowOff>666750</xdr:rowOff>
    </xdr:to>
    <xdr:pic>
      <xdr:nvPicPr>
        <xdr:cNvPr id="774006" name="Grafik 292" descr="080_EBC_Willi_Schatten.gif">
          <a:extLst>
            <a:ext uri="{FF2B5EF4-FFF2-40B4-BE49-F238E27FC236}">
              <a16:creationId xmlns:a16="http://schemas.microsoft.com/office/drawing/2014/main" id="{00000000-0008-0000-1000-000076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7502425"/>
          <a:ext cx="466725" cy="647700"/>
        </a:xfrm>
        <a:prstGeom prst="rect">
          <a:avLst/>
        </a:prstGeom>
        <a:noFill/>
        <a:ln w="9525">
          <a:noFill/>
          <a:miter lim="800000"/>
          <a:headEnd/>
          <a:tailEnd/>
        </a:ln>
      </xdr:spPr>
    </xdr:pic>
    <xdr:clientData/>
  </xdr:twoCellAnchor>
  <xdr:twoCellAnchor editAs="oneCell">
    <xdr:from>
      <xdr:col>1</xdr:col>
      <xdr:colOff>19050</xdr:colOff>
      <xdr:row>86</xdr:row>
      <xdr:rowOff>19050</xdr:rowOff>
    </xdr:from>
    <xdr:to>
      <xdr:col>1</xdr:col>
      <xdr:colOff>485775</xdr:colOff>
      <xdr:row>86</xdr:row>
      <xdr:rowOff>666750</xdr:rowOff>
    </xdr:to>
    <xdr:pic>
      <xdr:nvPicPr>
        <xdr:cNvPr id="774007" name="Grafik 293" descr="080_EBC_Willi_Schatten.gif">
          <a:extLst>
            <a:ext uri="{FF2B5EF4-FFF2-40B4-BE49-F238E27FC236}">
              <a16:creationId xmlns:a16="http://schemas.microsoft.com/office/drawing/2014/main" id="{00000000-0008-0000-1000-000077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8178700"/>
          <a:ext cx="466725" cy="647700"/>
        </a:xfrm>
        <a:prstGeom prst="rect">
          <a:avLst/>
        </a:prstGeom>
        <a:noFill/>
        <a:ln w="9525">
          <a:noFill/>
          <a:miter lim="800000"/>
          <a:headEnd/>
          <a:tailEnd/>
        </a:ln>
      </xdr:spPr>
    </xdr:pic>
    <xdr:clientData/>
  </xdr:twoCellAnchor>
  <xdr:twoCellAnchor editAs="oneCell">
    <xdr:from>
      <xdr:col>1</xdr:col>
      <xdr:colOff>19050</xdr:colOff>
      <xdr:row>87</xdr:row>
      <xdr:rowOff>19050</xdr:rowOff>
    </xdr:from>
    <xdr:to>
      <xdr:col>1</xdr:col>
      <xdr:colOff>485775</xdr:colOff>
      <xdr:row>87</xdr:row>
      <xdr:rowOff>666750</xdr:rowOff>
    </xdr:to>
    <xdr:pic>
      <xdr:nvPicPr>
        <xdr:cNvPr id="774008" name="Grafik 294" descr="080_EBC_Willi_Schatten.gif">
          <a:extLst>
            <a:ext uri="{FF2B5EF4-FFF2-40B4-BE49-F238E27FC236}">
              <a16:creationId xmlns:a16="http://schemas.microsoft.com/office/drawing/2014/main" id="{00000000-0008-0000-1000-000078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8854975"/>
          <a:ext cx="466725" cy="647700"/>
        </a:xfrm>
        <a:prstGeom prst="rect">
          <a:avLst/>
        </a:prstGeom>
        <a:noFill/>
        <a:ln w="9525">
          <a:noFill/>
          <a:miter lim="800000"/>
          <a:headEnd/>
          <a:tailEnd/>
        </a:ln>
      </xdr:spPr>
    </xdr:pic>
    <xdr:clientData/>
  </xdr:twoCellAnchor>
  <xdr:twoCellAnchor editAs="oneCell">
    <xdr:from>
      <xdr:col>1</xdr:col>
      <xdr:colOff>19050</xdr:colOff>
      <xdr:row>88</xdr:row>
      <xdr:rowOff>19050</xdr:rowOff>
    </xdr:from>
    <xdr:to>
      <xdr:col>1</xdr:col>
      <xdr:colOff>485775</xdr:colOff>
      <xdr:row>88</xdr:row>
      <xdr:rowOff>666750</xdr:rowOff>
    </xdr:to>
    <xdr:pic>
      <xdr:nvPicPr>
        <xdr:cNvPr id="774009" name="Grafik 295" descr="080_EBC_Willi_Schatten.gif">
          <a:extLst>
            <a:ext uri="{FF2B5EF4-FFF2-40B4-BE49-F238E27FC236}">
              <a16:creationId xmlns:a16="http://schemas.microsoft.com/office/drawing/2014/main" id="{00000000-0008-0000-1000-000079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9531250"/>
          <a:ext cx="466725" cy="647700"/>
        </a:xfrm>
        <a:prstGeom prst="rect">
          <a:avLst/>
        </a:prstGeom>
        <a:noFill/>
        <a:ln w="9525">
          <a:noFill/>
          <a:miter lim="800000"/>
          <a:headEnd/>
          <a:tailEnd/>
        </a:ln>
      </xdr:spPr>
    </xdr:pic>
    <xdr:clientData/>
  </xdr:twoCellAnchor>
  <xdr:twoCellAnchor editAs="oneCell">
    <xdr:from>
      <xdr:col>1</xdr:col>
      <xdr:colOff>19050</xdr:colOff>
      <xdr:row>89</xdr:row>
      <xdr:rowOff>19050</xdr:rowOff>
    </xdr:from>
    <xdr:to>
      <xdr:col>1</xdr:col>
      <xdr:colOff>485775</xdr:colOff>
      <xdr:row>89</xdr:row>
      <xdr:rowOff>666750</xdr:rowOff>
    </xdr:to>
    <xdr:pic>
      <xdr:nvPicPr>
        <xdr:cNvPr id="774010" name="Grafik 296" descr="080_EBC_Willi_Schatten.gif">
          <a:extLst>
            <a:ext uri="{FF2B5EF4-FFF2-40B4-BE49-F238E27FC236}">
              <a16:creationId xmlns:a16="http://schemas.microsoft.com/office/drawing/2014/main" id="{00000000-0008-0000-1000-00007A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0207525"/>
          <a:ext cx="466725" cy="647700"/>
        </a:xfrm>
        <a:prstGeom prst="rect">
          <a:avLst/>
        </a:prstGeom>
        <a:noFill/>
        <a:ln w="9525">
          <a:noFill/>
          <a:miter lim="800000"/>
          <a:headEnd/>
          <a:tailEnd/>
        </a:ln>
      </xdr:spPr>
    </xdr:pic>
    <xdr:clientData/>
  </xdr:twoCellAnchor>
  <xdr:twoCellAnchor editAs="oneCell">
    <xdr:from>
      <xdr:col>1</xdr:col>
      <xdr:colOff>19050</xdr:colOff>
      <xdr:row>90</xdr:row>
      <xdr:rowOff>19050</xdr:rowOff>
    </xdr:from>
    <xdr:to>
      <xdr:col>1</xdr:col>
      <xdr:colOff>485775</xdr:colOff>
      <xdr:row>90</xdr:row>
      <xdr:rowOff>666750</xdr:rowOff>
    </xdr:to>
    <xdr:pic>
      <xdr:nvPicPr>
        <xdr:cNvPr id="774011" name="Grafik 297" descr="080_EBC_Willi_Schatten.gif">
          <a:extLst>
            <a:ext uri="{FF2B5EF4-FFF2-40B4-BE49-F238E27FC236}">
              <a16:creationId xmlns:a16="http://schemas.microsoft.com/office/drawing/2014/main" id="{00000000-0008-0000-1000-00007B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0883800"/>
          <a:ext cx="466725" cy="647700"/>
        </a:xfrm>
        <a:prstGeom prst="rect">
          <a:avLst/>
        </a:prstGeom>
        <a:noFill/>
        <a:ln w="9525">
          <a:noFill/>
          <a:miter lim="800000"/>
          <a:headEnd/>
          <a:tailEnd/>
        </a:ln>
      </xdr:spPr>
    </xdr:pic>
    <xdr:clientData/>
  </xdr:twoCellAnchor>
  <xdr:twoCellAnchor editAs="oneCell">
    <xdr:from>
      <xdr:col>1</xdr:col>
      <xdr:colOff>19050</xdr:colOff>
      <xdr:row>91</xdr:row>
      <xdr:rowOff>19050</xdr:rowOff>
    </xdr:from>
    <xdr:to>
      <xdr:col>1</xdr:col>
      <xdr:colOff>485775</xdr:colOff>
      <xdr:row>91</xdr:row>
      <xdr:rowOff>666750</xdr:rowOff>
    </xdr:to>
    <xdr:pic>
      <xdr:nvPicPr>
        <xdr:cNvPr id="774012" name="Grafik 298" descr="080_EBC_Willi_Schatten.gif">
          <a:extLst>
            <a:ext uri="{FF2B5EF4-FFF2-40B4-BE49-F238E27FC236}">
              <a16:creationId xmlns:a16="http://schemas.microsoft.com/office/drawing/2014/main" id="{00000000-0008-0000-1000-00007C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1560075"/>
          <a:ext cx="466725" cy="647700"/>
        </a:xfrm>
        <a:prstGeom prst="rect">
          <a:avLst/>
        </a:prstGeom>
        <a:noFill/>
        <a:ln w="9525">
          <a:noFill/>
          <a:miter lim="800000"/>
          <a:headEnd/>
          <a:tailEnd/>
        </a:ln>
      </xdr:spPr>
    </xdr:pic>
    <xdr:clientData/>
  </xdr:twoCellAnchor>
  <xdr:twoCellAnchor editAs="oneCell">
    <xdr:from>
      <xdr:col>1</xdr:col>
      <xdr:colOff>19050</xdr:colOff>
      <xdr:row>92</xdr:row>
      <xdr:rowOff>19050</xdr:rowOff>
    </xdr:from>
    <xdr:to>
      <xdr:col>1</xdr:col>
      <xdr:colOff>485775</xdr:colOff>
      <xdr:row>92</xdr:row>
      <xdr:rowOff>666750</xdr:rowOff>
    </xdr:to>
    <xdr:pic>
      <xdr:nvPicPr>
        <xdr:cNvPr id="774013" name="Grafik 299" descr="080_EBC_Willi_Schatten.gif">
          <a:extLst>
            <a:ext uri="{FF2B5EF4-FFF2-40B4-BE49-F238E27FC236}">
              <a16:creationId xmlns:a16="http://schemas.microsoft.com/office/drawing/2014/main" id="{00000000-0008-0000-1000-00007D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2236350"/>
          <a:ext cx="466725" cy="647700"/>
        </a:xfrm>
        <a:prstGeom prst="rect">
          <a:avLst/>
        </a:prstGeom>
        <a:noFill/>
        <a:ln w="9525">
          <a:noFill/>
          <a:miter lim="800000"/>
          <a:headEnd/>
          <a:tailEnd/>
        </a:ln>
      </xdr:spPr>
    </xdr:pic>
    <xdr:clientData/>
  </xdr:twoCellAnchor>
  <xdr:twoCellAnchor editAs="oneCell">
    <xdr:from>
      <xdr:col>1</xdr:col>
      <xdr:colOff>19050</xdr:colOff>
      <xdr:row>93</xdr:row>
      <xdr:rowOff>19050</xdr:rowOff>
    </xdr:from>
    <xdr:to>
      <xdr:col>1</xdr:col>
      <xdr:colOff>485775</xdr:colOff>
      <xdr:row>93</xdr:row>
      <xdr:rowOff>666750</xdr:rowOff>
    </xdr:to>
    <xdr:pic>
      <xdr:nvPicPr>
        <xdr:cNvPr id="774014" name="Grafik 300" descr="080_EBC_Willi_Schatten.gif">
          <a:extLst>
            <a:ext uri="{FF2B5EF4-FFF2-40B4-BE49-F238E27FC236}">
              <a16:creationId xmlns:a16="http://schemas.microsoft.com/office/drawing/2014/main" id="{00000000-0008-0000-1000-00007E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2912625"/>
          <a:ext cx="466725" cy="647700"/>
        </a:xfrm>
        <a:prstGeom prst="rect">
          <a:avLst/>
        </a:prstGeom>
        <a:noFill/>
        <a:ln w="9525">
          <a:noFill/>
          <a:miter lim="800000"/>
          <a:headEnd/>
          <a:tailEnd/>
        </a:ln>
      </xdr:spPr>
    </xdr:pic>
    <xdr:clientData/>
  </xdr:twoCellAnchor>
  <xdr:twoCellAnchor editAs="oneCell">
    <xdr:from>
      <xdr:col>1</xdr:col>
      <xdr:colOff>19050</xdr:colOff>
      <xdr:row>94</xdr:row>
      <xdr:rowOff>19050</xdr:rowOff>
    </xdr:from>
    <xdr:to>
      <xdr:col>1</xdr:col>
      <xdr:colOff>485775</xdr:colOff>
      <xdr:row>94</xdr:row>
      <xdr:rowOff>666750</xdr:rowOff>
    </xdr:to>
    <xdr:pic>
      <xdr:nvPicPr>
        <xdr:cNvPr id="774015" name="Grafik 301" descr="080_EBC_Willi_Schatten.gif">
          <a:extLst>
            <a:ext uri="{FF2B5EF4-FFF2-40B4-BE49-F238E27FC236}">
              <a16:creationId xmlns:a16="http://schemas.microsoft.com/office/drawing/2014/main" id="{00000000-0008-0000-1000-00007F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3588900"/>
          <a:ext cx="466725" cy="647700"/>
        </a:xfrm>
        <a:prstGeom prst="rect">
          <a:avLst/>
        </a:prstGeom>
        <a:noFill/>
        <a:ln w="9525">
          <a:noFill/>
          <a:miter lim="800000"/>
          <a:headEnd/>
          <a:tailEnd/>
        </a:ln>
      </xdr:spPr>
    </xdr:pic>
    <xdr:clientData/>
  </xdr:twoCellAnchor>
  <xdr:twoCellAnchor editAs="oneCell">
    <xdr:from>
      <xdr:col>1</xdr:col>
      <xdr:colOff>19050</xdr:colOff>
      <xdr:row>95</xdr:row>
      <xdr:rowOff>19050</xdr:rowOff>
    </xdr:from>
    <xdr:to>
      <xdr:col>1</xdr:col>
      <xdr:colOff>485775</xdr:colOff>
      <xdr:row>95</xdr:row>
      <xdr:rowOff>666750</xdr:rowOff>
    </xdr:to>
    <xdr:pic>
      <xdr:nvPicPr>
        <xdr:cNvPr id="774016" name="Grafik 302" descr="080_EBC_Willi_Schatten.gif">
          <a:extLst>
            <a:ext uri="{FF2B5EF4-FFF2-40B4-BE49-F238E27FC236}">
              <a16:creationId xmlns:a16="http://schemas.microsoft.com/office/drawing/2014/main" id="{00000000-0008-0000-1000-000080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4265175"/>
          <a:ext cx="466725" cy="647700"/>
        </a:xfrm>
        <a:prstGeom prst="rect">
          <a:avLst/>
        </a:prstGeom>
        <a:noFill/>
        <a:ln w="9525">
          <a:noFill/>
          <a:miter lim="800000"/>
          <a:headEnd/>
          <a:tailEnd/>
        </a:ln>
      </xdr:spPr>
    </xdr:pic>
    <xdr:clientData/>
  </xdr:twoCellAnchor>
  <xdr:twoCellAnchor editAs="oneCell">
    <xdr:from>
      <xdr:col>1</xdr:col>
      <xdr:colOff>19050</xdr:colOff>
      <xdr:row>96</xdr:row>
      <xdr:rowOff>19050</xdr:rowOff>
    </xdr:from>
    <xdr:to>
      <xdr:col>1</xdr:col>
      <xdr:colOff>485775</xdr:colOff>
      <xdr:row>96</xdr:row>
      <xdr:rowOff>666750</xdr:rowOff>
    </xdr:to>
    <xdr:pic>
      <xdr:nvPicPr>
        <xdr:cNvPr id="774017" name="Grafik 303" descr="080_EBC_Willi_Schatten.gif">
          <a:extLst>
            <a:ext uri="{FF2B5EF4-FFF2-40B4-BE49-F238E27FC236}">
              <a16:creationId xmlns:a16="http://schemas.microsoft.com/office/drawing/2014/main" id="{00000000-0008-0000-1000-000081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4941450"/>
          <a:ext cx="466725" cy="647700"/>
        </a:xfrm>
        <a:prstGeom prst="rect">
          <a:avLst/>
        </a:prstGeom>
        <a:noFill/>
        <a:ln w="9525">
          <a:noFill/>
          <a:miter lim="800000"/>
          <a:headEnd/>
          <a:tailEnd/>
        </a:ln>
      </xdr:spPr>
    </xdr:pic>
    <xdr:clientData/>
  </xdr:twoCellAnchor>
  <xdr:twoCellAnchor editAs="oneCell">
    <xdr:from>
      <xdr:col>1</xdr:col>
      <xdr:colOff>19050</xdr:colOff>
      <xdr:row>97</xdr:row>
      <xdr:rowOff>19050</xdr:rowOff>
    </xdr:from>
    <xdr:to>
      <xdr:col>1</xdr:col>
      <xdr:colOff>485775</xdr:colOff>
      <xdr:row>97</xdr:row>
      <xdr:rowOff>666750</xdr:rowOff>
    </xdr:to>
    <xdr:pic>
      <xdr:nvPicPr>
        <xdr:cNvPr id="774018" name="Grafik 304" descr="080_EBC_Willi_Schatten.gif">
          <a:extLst>
            <a:ext uri="{FF2B5EF4-FFF2-40B4-BE49-F238E27FC236}">
              <a16:creationId xmlns:a16="http://schemas.microsoft.com/office/drawing/2014/main" id="{00000000-0008-0000-1000-000082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5617725"/>
          <a:ext cx="466725" cy="647700"/>
        </a:xfrm>
        <a:prstGeom prst="rect">
          <a:avLst/>
        </a:prstGeom>
        <a:noFill/>
        <a:ln w="9525">
          <a:noFill/>
          <a:miter lim="800000"/>
          <a:headEnd/>
          <a:tailEnd/>
        </a:ln>
      </xdr:spPr>
    </xdr:pic>
    <xdr:clientData/>
  </xdr:twoCellAnchor>
  <xdr:twoCellAnchor editAs="oneCell">
    <xdr:from>
      <xdr:col>1</xdr:col>
      <xdr:colOff>19050</xdr:colOff>
      <xdr:row>98</xdr:row>
      <xdr:rowOff>19050</xdr:rowOff>
    </xdr:from>
    <xdr:to>
      <xdr:col>1</xdr:col>
      <xdr:colOff>485775</xdr:colOff>
      <xdr:row>98</xdr:row>
      <xdr:rowOff>666750</xdr:rowOff>
    </xdr:to>
    <xdr:pic>
      <xdr:nvPicPr>
        <xdr:cNvPr id="774019" name="Grafik 305" descr="080_EBC_Willi_Schatten.gif">
          <a:extLst>
            <a:ext uri="{FF2B5EF4-FFF2-40B4-BE49-F238E27FC236}">
              <a16:creationId xmlns:a16="http://schemas.microsoft.com/office/drawing/2014/main" id="{00000000-0008-0000-1000-000083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6294000"/>
          <a:ext cx="466725" cy="647700"/>
        </a:xfrm>
        <a:prstGeom prst="rect">
          <a:avLst/>
        </a:prstGeom>
        <a:noFill/>
        <a:ln w="9525">
          <a:noFill/>
          <a:miter lim="800000"/>
          <a:headEnd/>
          <a:tailEnd/>
        </a:ln>
      </xdr:spPr>
    </xdr:pic>
    <xdr:clientData/>
  </xdr:twoCellAnchor>
  <xdr:twoCellAnchor editAs="oneCell">
    <xdr:from>
      <xdr:col>1</xdr:col>
      <xdr:colOff>19050</xdr:colOff>
      <xdr:row>99</xdr:row>
      <xdr:rowOff>19050</xdr:rowOff>
    </xdr:from>
    <xdr:to>
      <xdr:col>1</xdr:col>
      <xdr:colOff>485775</xdr:colOff>
      <xdr:row>99</xdr:row>
      <xdr:rowOff>666750</xdr:rowOff>
    </xdr:to>
    <xdr:pic>
      <xdr:nvPicPr>
        <xdr:cNvPr id="774020" name="Grafik 306" descr="080_EBC_Willi_Schatten.gif">
          <a:extLst>
            <a:ext uri="{FF2B5EF4-FFF2-40B4-BE49-F238E27FC236}">
              <a16:creationId xmlns:a16="http://schemas.microsoft.com/office/drawing/2014/main" id="{00000000-0008-0000-1000-000084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6970275"/>
          <a:ext cx="466725" cy="647700"/>
        </a:xfrm>
        <a:prstGeom prst="rect">
          <a:avLst/>
        </a:prstGeom>
        <a:noFill/>
        <a:ln w="9525">
          <a:noFill/>
          <a:miter lim="800000"/>
          <a:headEnd/>
          <a:tailEnd/>
        </a:ln>
      </xdr:spPr>
    </xdr:pic>
    <xdr:clientData/>
  </xdr:twoCellAnchor>
  <xdr:oneCellAnchor>
    <xdr:from>
      <xdr:col>1</xdr:col>
      <xdr:colOff>19050</xdr:colOff>
      <xdr:row>100</xdr:row>
      <xdr:rowOff>19050</xdr:rowOff>
    </xdr:from>
    <xdr:ext cx="466725" cy="647700"/>
    <xdr:pic>
      <xdr:nvPicPr>
        <xdr:cNvPr id="102" name="Grafik 306" descr="080_EBC_Willi_Schatten.gif">
          <a:extLst>
            <a:ext uri="{FF2B5EF4-FFF2-40B4-BE49-F238E27FC236}">
              <a16:creationId xmlns:a16="http://schemas.microsoft.com/office/drawing/2014/main" id="{00000000-0008-0000-1000-00006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6655950"/>
          <a:ext cx="466725" cy="647700"/>
        </a:xfrm>
        <a:prstGeom prst="rect">
          <a:avLst/>
        </a:prstGeom>
        <a:noFill/>
        <a:ln w="9525">
          <a:noFill/>
          <a:miter lim="800000"/>
          <a:headEnd/>
          <a:tailEnd/>
        </a:ln>
      </xdr:spPr>
    </xdr:pic>
    <xdr:clientData/>
  </xdr:oneCellAnchor>
  <xdr:oneCellAnchor>
    <xdr:from>
      <xdr:col>1</xdr:col>
      <xdr:colOff>19050</xdr:colOff>
      <xdr:row>101</xdr:row>
      <xdr:rowOff>19050</xdr:rowOff>
    </xdr:from>
    <xdr:ext cx="466725" cy="647700"/>
    <xdr:pic>
      <xdr:nvPicPr>
        <xdr:cNvPr id="104" name="Grafik 306" descr="080_EBC_Willi_Schatten.gif">
          <a:extLst>
            <a:ext uri="{FF2B5EF4-FFF2-40B4-BE49-F238E27FC236}">
              <a16:creationId xmlns:a16="http://schemas.microsoft.com/office/drawing/2014/main" id="{00000000-0008-0000-1000-00006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102</xdr:row>
      <xdr:rowOff>19050</xdr:rowOff>
    </xdr:from>
    <xdr:ext cx="466725" cy="647700"/>
    <xdr:pic>
      <xdr:nvPicPr>
        <xdr:cNvPr id="105" name="Grafik 306" descr="080_EBC_Willi_Schatten.gif">
          <a:extLst>
            <a:ext uri="{FF2B5EF4-FFF2-40B4-BE49-F238E27FC236}">
              <a16:creationId xmlns:a16="http://schemas.microsoft.com/office/drawing/2014/main" id="{00000000-0008-0000-1000-00006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103</xdr:row>
      <xdr:rowOff>19050</xdr:rowOff>
    </xdr:from>
    <xdr:ext cx="466725" cy="647700"/>
    <xdr:pic>
      <xdr:nvPicPr>
        <xdr:cNvPr id="106" name="Grafik 306" descr="080_EBC_Willi_Schatten.gif">
          <a:extLst>
            <a:ext uri="{FF2B5EF4-FFF2-40B4-BE49-F238E27FC236}">
              <a16:creationId xmlns:a16="http://schemas.microsoft.com/office/drawing/2014/main" id="{00000000-0008-0000-1000-00006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104</xdr:row>
      <xdr:rowOff>19050</xdr:rowOff>
    </xdr:from>
    <xdr:ext cx="466725" cy="647700"/>
    <xdr:pic>
      <xdr:nvPicPr>
        <xdr:cNvPr id="107" name="Grafik 306" descr="080_EBC_Willi_Schatten.gif">
          <a:extLst>
            <a:ext uri="{FF2B5EF4-FFF2-40B4-BE49-F238E27FC236}">
              <a16:creationId xmlns:a16="http://schemas.microsoft.com/office/drawing/2014/main" id="{00000000-0008-0000-1000-00006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105</xdr:row>
      <xdr:rowOff>19050</xdr:rowOff>
    </xdr:from>
    <xdr:ext cx="466725" cy="647700"/>
    <xdr:pic>
      <xdr:nvPicPr>
        <xdr:cNvPr id="108" name="Grafik 306" descr="080_EBC_Willi_Schatten.gif">
          <a:extLst>
            <a:ext uri="{FF2B5EF4-FFF2-40B4-BE49-F238E27FC236}">
              <a16:creationId xmlns:a16="http://schemas.microsoft.com/office/drawing/2014/main" id="{00000000-0008-0000-1000-00006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106</xdr:row>
      <xdr:rowOff>19050</xdr:rowOff>
    </xdr:from>
    <xdr:ext cx="466725" cy="647700"/>
    <xdr:pic>
      <xdr:nvPicPr>
        <xdr:cNvPr id="109" name="Grafik 306" descr="080_EBC_Willi_Schatten.gif">
          <a:extLst>
            <a:ext uri="{FF2B5EF4-FFF2-40B4-BE49-F238E27FC236}">
              <a16:creationId xmlns:a16="http://schemas.microsoft.com/office/drawing/2014/main" id="{00000000-0008-0000-1000-00006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107</xdr:row>
      <xdr:rowOff>19050</xdr:rowOff>
    </xdr:from>
    <xdr:ext cx="466725" cy="647700"/>
    <xdr:pic>
      <xdr:nvPicPr>
        <xdr:cNvPr id="110" name="Grafik 306" descr="080_EBC_Willi_Schatten.gif">
          <a:extLst>
            <a:ext uri="{FF2B5EF4-FFF2-40B4-BE49-F238E27FC236}">
              <a16:creationId xmlns:a16="http://schemas.microsoft.com/office/drawing/2014/main" id="{00000000-0008-0000-1000-00006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108</xdr:row>
      <xdr:rowOff>19050</xdr:rowOff>
    </xdr:from>
    <xdr:ext cx="466725" cy="647700"/>
    <xdr:pic>
      <xdr:nvPicPr>
        <xdr:cNvPr id="111" name="Grafik 306" descr="080_EBC_Willi_Schatten.gif">
          <a:extLst>
            <a:ext uri="{FF2B5EF4-FFF2-40B4-BE49-F238E27FC236}">
              <a16:creationId xmlns:a16="http://schemas.microsoft.com/office/drawing/2014/main" id="{00000000-0008-0000-1000-00006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109</xdr:row>
      <xdr:rowOff>19050</xdr:rowOff>
    </xdr:from>
    <xdr:ext cx="466725" cy="647700"/>
    <xdr:pic>
      <xdr:nvPicPr>
        <xdr:cNvPr id="112" name="Grafik 306" descr="080_EBC_Willi_Schatten.gif">
          <a:extLst>
            <a:ext uri="{FF2B5EF4-FFF2-40B4-BE49-F238E27FC236}">
              <a16:creationId xmlns:a16="http://schemas.microsoft.com/office/drawing/2014/main" id="{00000000-0008-0000-1000-00007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110</xdr:row>
      <xdr:rowOff>19050</xdr:rowOff>
    </xdr:from>
    <xdr:ext cx="466725" cy="647700"/>
    <xdr:pic>
      <xdr:nvPicPr>
        <xdr:cNvPr id="113" name="Grafik 306" descr="080_EBC_Willi_Schatten.gif">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111</xdr:row>
      <xdr:rowOff>19050</xdr:rowOff>
    </xdr:from>
    <xdr:ext cx="466725" cy="647700"/>
    <xdr:pic>
      <xdr:nvPicPr>
        <xdr:cNvPr id="114" name="Grafik 306" descr="080_EBC_Willi_Schatten.gif">
          <a:extLst>
            <a:ext uri="{FF2B5EF4-FFF2-40B4-BE49-F238E27FC236}">
              <a16:creationId xmlns:a16="http://schemas.microsoft.com/office/drawing/2014/main" id="{00000000-0008-0000-1000-00007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112</xdr:row>
      <xdr:rowOff>19050</xdr:rowOff>
    </xdr:from>
    <xdr:ext cx="466725" cy="647700"/>
    <xdr:pic>
      <xdr:nvPicPr>
        <xdr:cNvPr id="115" name="Grafik 306" descr="080_EBC_Willi_Schatten.gif">
          <a:extLst>
            <a:ext uri="{FF2B5EF4-FFF2-40B4-BE49-F238E27FC236}">
              <a16:creationId xmlns:a16="http://schemas.microsoft.com/office/drawing/2014/main" id="{00000000-0008-0000-1000-00007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113</xdr:row>
      <xdr:rowOff>19050</xdr:rowOff>
    </xdr:from>
    <xdr:ext cx="466725" cy="647700"/>
    <xdr:pic>
      <xdr:nvPicPr>
        <xdr:cNvPr id="116" name="Grafik 306" descr="080_EBC_Willi_Schatten.gif">
          <a:extLst>
            <a:ext uri="{FF2B5EF4-FFF2-40B4-BE49-F238E27FC236}">
              <a16:creationId xmlns:a16="http://schemas.microsoft.com/office/drawing/2014/main" id="{00000000-0008-0000-1000-00007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114</xdr:row>
      <xdr:rowOff>19050</xdr:rowOff>
    </xdr:from>
    <xdr:ext cx="466725" cy="647700"/>
    <xdr:pic>
      <xdr:nvPicPr>
        <xdr:cNvPr id="117" name="Grafik 306" descr="080_EBC_Willi_Schatten.gif">
          <a:extLst>
            <a:ext uri="{FF2B5EF4-FFF2-40B4-BE49-F238E27FC236}">
              <a16:creationId xmlns:a16="http://schemas.microsoft.com/office/drawing/2014/main" id="{00000000-0008-0000-1000-00007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115</xdr:row>
      <xdr:rowOff>19050</xdr:rowOff>
    </xdr:from>
    <xdr:ext cx="466725" cy="647700"/>
    <xdr:pic>
      <xdr:nvPicPr>
        <xdr:cNvPr id="118" name="Grafik 306" descr="080_EBC_Willi_Schatten.gif">
          <a:extLst>
            <a:ext uri="{FF2B5EF4-FFF2-40B4-BE49-F238E27FC236}">
              <a16:creationId xmlns:a16="http://schemas.microsoft.com/office/drawing/2014/main" id="{00000000-0008-0000-1000-00007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116</xdr:row>
      <xdr:rowOff>19050</xdr:rowOff>
    </xdr:from>
    <xdr:ext cx="466725" cy="647700"/>
    <xdr:pic>
      <xdr:nvPicPr>
        <xdr:cNvPr id="119" name="Grafik 306" descr="080_EBC_Willi_Schatten.gif">
          <a:extLst>
            <a:ext uri="{FF2B5EF4-FFF2-40B4-BE49-F238E27FC236}">
              <a16:creationId xmlns:a16="http://schemas.microsoft.com/office/drawing/2014/main" id="{00000000-0008-0000-1000-00007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117</xdr:row>
      <xdr:rowOff>19050</xdr:rowOff>
    </xdr:from>
    <xdr:ext cx="466725" cy="647700"/>
    <xdr:pic>
      <xdr:nvPicPr>
        <xdr:cNvPr id="120" name="Grafik 306" descr="080_EBC_Willi_Schatten.gif">
          <a:extLst>
            <a:ext uri="{FF2B5EF4-FFF2-40B4-BE49-F238E27FC236}">
              <a16:creationId xmlns:a16="http://schemas.microsoft.com/office/drawing/2014/main" id="{00000000-0008-0000-1000-00007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118</xdr:row>
      <xdr:rowOff>19050</xdr:rowOff>
    </xdr:from>
    <xdr:ext cx="466725" cy="647700"/>
    <xdr:pic>
      <xdr:nvPicPr>
        <xdr:cNvPr id="121" name="Grafik 306" descr="080_EBC_Willi_Schatten.gif">
          <a:extLst>
            <a:ext uri="{FF2B5EF4-FFF2-40B4-BE49-F238E27FC236}">
              <a16:creationId xmlns:a16="http://schemas.microsoft.com/office/drawing/2014/main" id="{00000000-0008-0000-1000-00007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119</xdr:row>
      <xdr:rowOff>19050</xdr:rowOff>
    </xdr:from>
    <xdr:ext cx="466725" cy="647700"/>
    <xdr:pic>
      <xdr:nvPicPr>
        <xdr:cNvPr id="122" name="Grafik 306" descr="080_EBC_Willi_Schatten.gif">
          <a:extLst>
            <a:ext uri="{FF2B5EF4-FFF2-40B4-BE49-F238E27FC236}">
              <a16:creationId xmlns:a16="http://schemas.microsoft.com/office/drawing/2014/main" id="{00000000-0008-0000-1000-00007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120</xdr:row>
      <xdr:rowOff>19050</xdr:rowOff>
    </xdr:from>
    <xdr:ext cx="466725" cy="647700"/>
    <xdr:pic>
      <xdr:nvPicPr>
        <xdr:cNvPr id="123" name="Grafik 306" descr="080_EBC_Willi_Schatten.gif">
          <a:extLst>
            <a:ext uri="{FF2B5EF4-FFF2-40B4-BE49-F238E27FC236}">
              <a16:creationId xmlns:a16="http://schemas.microsoft.com/office/drawing/2014/main" id="{00000000-0008-0000-1000-00007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121</xdr:row>
      <xdr:rowOff>19050</xdr:rowOff>
    </xdr:from>
    <xdr:ext cx="466725" cy="647700"/>
    <xdr:pic>
      <xdr:nvPicPr>
        <xdr:cNvPr id="124" name="Grafik 306" descr="080_EBC_Willi_Schatten.gif">
          <a:extLst>
            <a:ext uri="{FF2B5EF4-FFF2-40B4-BE49-F238E27FC236}">
              <a16:creationId xmlns:a16="http://schemas.microsoft.com/office/drawing/2014/main" id="{00000000-0008-0000-1000-00007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122</xdr:row>
      <xdr:rowOff>19050</xdr:rowOff>
    </xdr:from>
    <xdr:ext cx="466725" cy="647700"/>
    <xdr:pic>
      <xdr:nvPicPr>
        <xdr:cNvPr id="125" name="Grafik 306" descr="080_EBC_Willi_Schatten.gif">
          <a:extLst>
            <a:ext uri="{FF2B5EF4-FFF2-40B4-BE49-F238E27FC236}">
              <a16:creationId xmlns:a16="http://schemas.microsoft.com/office/drawing/2014/main" id="{00000000-0008-0000-1000-00007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123</xdr:row>
      <xdr:rowOff>19050</xdr:rowOff>
    </xdr:from>
    <xdr:ext cx="466725" cy="647700"/>
    <xdr:pic>
      <xdr:nvPicPr>
        <xdr:cNvPr id="126" name="Grafik 306" descr="080_EBC_Willi_Schatten.gif">
          <a:extLst>
            <a:ext uri="{FF2B5EF4-FFF2-40B4-BE49-F238E27FC236}">
              <a16:creationId xmlns:a16="http://schemas.microsoft.com/office/drawing/2014/main" id="{00000000-0008-0000-1000-00007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124</xdr:row>
      <xdr:rowOff>19050</xdr:rowOff>
    </xdr:from>
    <xdr:ext cx="466725" cy="647700"/>
    <xdr:pic>
      <xdr:nvPicPr>
        <xdr:cNvPr id="127" name="Grafik 306" descr="080_EBC_Willi_Schatten.gif">
          <a:extLst>
            <a:ext uri="{FF2B5EF4-FFF2-40B4-BE49-F238E27FC236}">
              <a16:creationId xmlns:a16="http://schemas.microsoft.com/office/drawing/2014/main" id="{00000000-0008-0000-1000-00007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125</xdr:row>
      <xdr:rowOff>19050</xdr:rowOff>
    </xdr:from>
    <xdr:ext cx="466725" cy="647700"/>
    <xdr:pic>
      <xdr:nvPicPr>
        <xdr:cNvPr id="128" name="Grafik 306" descr="080_EBC_Willi_Schatten.gif">
          <a:extLst>
            <a:ext uri="{FF2B5EF4-FFF2-40B4-BE49-F238E27FC236}">
              <a16:creationId xmlns:a16="http://schemas.microsoft.com/office/drawing/2014/main" id="{00000000-0008-0000-1000-00008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126</xdr:row>
      <xdr:rowOff>19050</xdr:rowOff>
    </xdr:from>
    <xdr:ext cx="466725" cy="647700"/>
    <xdr:pic>
      <xdr:nvPicPr>
        <xdr:cNvPr id="129" name="Grafik 306" descr="080_EBC_Willi_Schatten.gif">
          <a:extLst>
            <a:ext uri="{FF2B5EF4-FFF2-40B4-BE49-F238E27FC236}">
              <a16:creationId xmlns:a16="http://schemas.microsoft.com/office/drawing/2014/main" id="{00000000-0008-0000-1000-00008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127</xdr:row>
      <xdr:rowOff>19050</xdr:rowOff>
    </xdr:from>
    <xdr:ext cx="466725" cy="647700"/>
    <xdr:pic>
      <xdr:nvPicPr>
        <xdr:cNvPr id="130" name="Grafik 306" descr="080_EBC_Willi_Schatten.gif">
          <a:extLst>
            <a:ext uri="{FF2B5EF4-FFF2-40B4-BE49-F238E27FC236}">
              <a16:creationId xmlns:a16="http://schemas.microsoft.com/office/drawing/2014/main" id="{00000000-0008-0000-1000-00008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128</xdr:row>
      <xdr:rowOff>19050</xdr:rowOff>
    </xdr:from>
    <xdr:ext cx="466725" cy="647700"/>
    <xdr:pic>
      <xdr:nvPicPr>
        <xdr:cNvPr id="131" name="Grafik 306" descr="080_EBC_Willi_Schatten.gif">
          <a:extLst>
            <a:ext uri="{FF2B5EF4-FFF2-40B4-BE49-F238E27FC236}">
              <a16:creationId xmlns:a16="http://schemas.microsoft.com/office/drawing/2014/main" id="{00000000-0008-0000-1000-00008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129</xdr:row>
      <xdr:rowOff>19050</xdr:rowOff>
    </xdr:from>
    <xdr:ext cx="466725" cy="647700"/>
    <xdr:pic>
      <xdr:nvPicPr>
        <xdr:cNvPr id="132" name="Grafik 306" descr="080_EBC_Willi_Schatten.gif">
          <a:extLst>
            <a:ext uri="{FF2B5EF4-FFF2-40B4-BE49-F238E27FC236}">
              <a16:creationId xmlns:a16="http://schemas.microsoft.com/office/drawing/2014/main" id="{00000000-0008-0000-1000-00008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130</xdr:row>
      <xdr:rowOff>19050</xdr:rowOff>
    </xdr:from>
    <xdr:ext cx="466725" cy="647700"/>
    <xdr:pic>
      <xdr:nvPicPr>
        <xdr:cNvPr id="133" name="Grafik 306" descr="080_EBC_Willi_Schatten.gif">
          <a:extLst>
            <a:ext uri="{FF2B5EF4-FFF2-40B4-BE49-F238E27FC236}">
              <a16:creationId xmlns:a16="http://schemas.microsoft.com/office/drawing/2014/main" id="{00000000-0008-0000-1000-00008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131</xdr:row>
      <xdr:rowOff>19050</xdr:rowOff>
    </xdr:from>
    <xdr:ext cx="466725" cy="647700"/>
    <xdr:pic>
      <xdr:nvPicPr>
        <xdr:cNvPr id="134" name="Grafik 306" descr="080_EBC_Willi_Schatten.gif">
          <a:extLst>
            <a:ext uri="{FF2B5EF4-FFF2-40B4-BE49-F238E27FC236}">
              <a16:creationId xmlns:a16="http://schemas.microsoft.com/office/drawing/2014/main" id="{00000000-0008-0000-1000-00008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132</xdr:row>
      <xdr:rowOff>19050</xdr:rowOff>
    </xdr:from>
    <xdr:ext cx="466725" cy="647700"/>
    <xdr:pic>
      <xdr:nvPicPr>
        <xdr:cNvPr id="135" name="Grafik 306" descr="080_EBC_Willi_Schatten.gif">
          <a:extLst>
            <a:ext uri="{FF2B5EF4-FFF2-40B4-BE49-F238E27FC236}">
              <a16:creationId xmlns:a16="http://schemas.microsoft.com/office/drawing/2014/main" id="{00000000-0008-0000-1000-00008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133</xdr:row>
      <xdr:rowOff>19050</xdr:rowOff>
    </xdr:from>
    <xdr:ext cx="466725" cy="647700"/>
    <xdr:pic>
      <xdr:nvPicPr>
        <xdr:cNvPr id="136" name="Grafik 306" descr="080_EBC_Willi_Schatten.gif">
          <a:extLst>
            <a:ext uri="{FF2B5EF4-FFF2-40B4-BE49-F238E27FC236}">
              <a16:creationId xmlns:a16="http://schemas.microsoft.com/office/drawing/2014/main" id="{00000000-0008-0000-1000-00008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134</xdr:row>
      <xdr:rowOff>19050</xdr:rowOff>
    </xdr:from>
    <xdr:ext cx="466725" cy="647700"/>
    <xdr:pic>
      <xdr:nvPicPr>
        <xdr:cNvPr id="137" name="Grafik 306" descr="080_EBC_Willi_Schatten.gif">
          <a:extLst>
            <a:ext uri="{FF2B5EF4-FFF2-40B4-BE49-F238E27FC236}">
              <a16:creationId xmlns:a16="http://schemas.microsoft.com/office/drawing/2014/main" id="{00000000-0008-0000-1000-00008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135</xdr:row>
      <xdr:rowOff>19050</xdr:rowOff>
    </xdr:from>
    <xdr:ext cx="466725" cy="647700"/>
    <xdr:pic>
      <xdr:nvPicPr>
        <xdr:cNvPr id="138" name="Grafik 306" descr="080_EBC_Willi_Schatten.gif">
          <a:extLst>
            <a:ext uri="{FF2B5EF4-FFF2-40B4-BE49-F238E27FC236}">
              <a16:creationId xmlns:a16="http://schemas.microsoft.com/office/drawing/2014/main" id="{00000000-0008-0000-1000-00008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136</xdr:row>
      <xdr:rowOff>19050</xdr:rowOff>
    </xdr:from>
    <xdr:ext cx="466725" cy="647700"/>
    <xdr:pic>
      <xdr:nvPicPr>
        <xdr:cNvPr id="139" name="Grafik 306" descr="080_EBC_Willi_Schatten.gif">
          <a:extLst>
            <a:ext uri="{FF2B5EF4-FFF2-40B4-BE49-F238E27FC236}">
              <a16:creationId xmlns:a16="http://schemas.microsoft.com/office/drawing/2014/main" id="{00000000-0008-0000-1000-00008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137</xdr:row>
      <xdr:rowOff>19050</xdr:rowOff>
    </xdr:from>
    <xdr:ext cx="466725" cy="647700"/>
    <xdr:pic>
      <xdr:nvPicPr>
        <xdr:cNvPr id="140" name="Grafik 306" descr="080_EBC_Willi_Schatten.gif">
          <a:extLst>
            <a:ext uri="{FF2B5EF4-FFF2-40B4-BE49-F238E27FC236}">
              <a16:creationId xmlns:a16="http://schemas.microsoft.com/office/drawing/2014/main" id="{00000000-0008-0000-1000-00008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138</xdr:row>
      <xdr:rowOff>19050</xdr:rowOff>
    </xdr:from>
    <xdr:ext cx="466725" cy="647700"/>
    <xdr:pic>
      <xdr:nvPicPr>
        <xdr:cNvPr id="141" name="Grafik 306" descr="080_EBC_Willi_Schatten.gif">
          <a:extLst>
            <a:ext uri="{FF2B5EF4-FFF2-40B4-BE49-F238E27FC236}">
              <a16:creationId xmlns:a16="http://schemas.microsoft.com/office/drawing/2014/main" id="{00000000-0008-0000-1000-00008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139</xdr:row>
      <xdr:rowOff>19050</xdr:rowOff>
    </xdr:from>
    <xdr:ext cx="466725" cy="647700"/>
    <xdr:pic>
      <xdr:nvPicPr>
        <xdr:cNvPr id="142" name="Grafik 306" descr="080_EBC_Willi_Schatten.gif">
          <a:extLst>
            <a:ext uri="{FF2B5EF4-FFF2-40B4-BE49-F238E27FC236}">
              <a16:creationId xmlns:a16="http://schemas.microsoft.com/office/drawing/2014/main" id="{00000000-0008-0000-1000-00008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140</xdr:row>
      <xdr:rowOff>19050</xdr:rowOff>
    </xdr:from>
    <xdr:ext cx="466725" cy="647700"/>
    <xdr:pic>
      <xdr:nvPicPr>
        <xdr:cNvPr id="143" name="Grafik 306" descr="080_EBC_Willi_Schatten.gif">
          <a:extLst>
            <a:ext uri="{FF2B5EF4-FFF2-40B4-BE49-F238E27FC236}">
              <a16:creationId xmlns:a16="http://schemas.microsoft.com/office/drawing/2014/main" id="{00000000-0008-0000-1000-00008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141</xdr:row>
      <xdr:rowOff>19050</xdr:rowOff>
    </xdr:from>
    <xdr:ext cx="466725" cy="647700"/>
    <xdr:pic>
      <xdr:nvPicPr>
        <xdr:cNvPr id="144" name="Grafik 306" descr="080_EBC_Willi_Schatten.gif">
          <a:extLst>
            <a:ext uri="{FF2B5EF4-FFF2-40B4-BE49-F238E27FC236}">
              <a16:creationId xmlns:a16="http://schemas.microsoft.com/office/drawing/2014/main" id="{00000000-0008-0000-1000-00009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142</xdr:row>
      <xdr:rowOff>19050</xdr:rowOff>
    </xdr:from>
    <xdr:ext cx="466725" cy="647700"/>
    <xdr:pic>
      <xdr:nvPicPr>
        <xdr:cNvPr id="145" name="Grafik 306" descr="080_EBC_Willi_Schatten.gif">
          <a:extLst>
            <a:ext uri="{FF2B5EF4-FFF2-40B4-BE49-F238E27FC236}">
              <a16:creationId xmlns:a16="http://schemas.microsoft.com/office/drawing/2014/main" id="{00000000-0008-0000-1000-00009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143</xdr:row>
      <xdr:rowOff>19050</xdr:rowOff>
    </xdr:from>
    <xdr:ext cx="466725" cy="647700"/>
    <xdr:pic>
      <xdr:nvPicPr>
        <xdr:cNvPr id="146" name="Grafik 306" descr="080_EBC_Willi_Schatten.gif">
          <a:extLst>
            <a:ext uri="{FF2B5EF4-FFF2-40B4-BE49-F238E27FC236}">
              <a16:creationId xmlns:a16="http://schemas.microsoft.com/office/drawing/2014/main" id="{00000000-0008-0000-1000-00009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144</xdr:row>
      <xdr:rowOff>19050</xdr:rowOff>
    </xdr:from>
    <xdr:ext cx="466725" cy="647700"/>
    <xdr:pic>
      <xdr:nvPicPr>
        <xdr:cNvPr id="147" name="Grafik 306" descr="080_EBC_Willi_Schatten.gif">
          <a:extLst>
            <a:ext uri="{FF2B5EF4-FFF2-40B4-BE49-F238E27FC236}">
              <a16:creationId xmlns:a16="http://schemas.microsoft.com/office/drawing/2014/main" id="{00000000-0008-0000-1000-00009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145</xdr:row>
      <xdr:rowOff>19050</xdr:rowOff>
    </xdr:from>
    <xdr:ext cx="466725" cy="647700"/>
    <xdr:pic>
      <xdr:nvPicPr>
        <xdr:cNvPr id="148" name="Grafik 306" descr="080_EBC_Willi_Schatten.gif">
          <a:extLst>
            <a:ext uri="{FF2B5EF4-FFF2-40B4-BE49-F238E27FC236}">
              <a16:creationId xmlns:a16="http://schemas.microsoft.com/office/drawing/2014/main" id="{00000000-0008-0000-1000-00009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146</xdr:row>
      <xdr:rowOff>19050</xdr:rowOff>
    </xdr:from>
    <xdr:ext cx="466725" cy="647700"/>
    <xdr:pic>
      <xdr:nvPicPr>
        <xdr:cNvPr id="149" name="Grafik 306" descr="080_EBC_Willi_Schatten.gif">
          <a:extLst>
            <a:ext uri="{FF2B5EF4-FFF2-40B4-BE49-F238E27FC236}">
              <a16:creationId xmlns:a16="http://schemas.microsoft.com/office/drawing/2014/main" id="{00000000-0008-0000-1000-00009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147</xdr:row>
      <xdr:rowOff>19050</xdr:rowOff>
    </xdr:from>
    <xdr:ext cx="466725" cy="647700"/>
    <xdr:pic>
      <xdr:nvPicPr>
        <xdr:cNvPr id="150" name="Grafik 306" descr="080_EBC_Willi_Schatten.gif">
          <a:extLst>
            <a:ext uri="{FF2B5EF4-FFF2-40B4-BE49-F238E27FC236}">
              <a16:creationId xmlns:a16="http://schemas.microsoft.com/office/drawing/2014/main" id="{00000000-0008-0000-1000-00009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148</xdr:row>
      <xdr:rowOff>19050</xdr:rowOff>
    </xdr:from>
    <xdr:ext cx="466725" cy="647700"/>
    <xdr:pic>
      <xdr:nvPicPr>
        <xdr:cNvPr id="151" name="Grafik 306" descr="080_EBC_Willi_Schatten.gif">
          <a:extLst>
            <a:ext uri="{FF2B5EF4-FFF2-40B4-BE49-F238E27FC236}">
              <a16:creationId xmlns:a16="http://schemas.microsoft.com/office/drawing/2014/main" id="{00000000-0008-0000-1000-00009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149</xdr:row>
      <xdr:rowOff>19050</xdr:rowOff>
    </xdr:from>
    <xdr:ext cx="466725" cy="647700"/>
    <xdr:pic>
      <xdr:nvPicPr>
        <xdr:cNvPr id="152" name="Grafik 306" descr="080_EBC_Willi_Schatten.gif">
          <a:extLst>
            <a:ext uri="{FF2B5EF4-FFF2-40B4-BE49-F238E27FC236}">
              <a16:creationId xmlns:a16="http://schemas.microsoft.com/office/drawing/2014/main" id="{00000000-0008-0000-1000-00009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150</xdr:row>
      <xdr:rowOff>19050</xdr:rowOff>
    </xdr:from>
    <xdr:ext cx="466725" cy="647700"/>
    <xdr:pic>
      <xdr:nvPicPr>
        <xdr:cNvPr id="153" name="Grafik 306" descr="080_EBC_Willi_Schatten.gif">
          <a:extLst>
            <a:ext uri="{FF2B5EF4-FFF2-40B4-BE49-F238E27FC236}">
              <a16:creationId xmlns:a16="http://schemas.microsoft.com/office/drawing/2014/main" id="{00000000-0008-0000-1000-00009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151</xdr:row>
      <xdr:rowOff>19050</xdr:rowOff>
    </xdr:from>
    <xdr:ext cx="466725" cy="647700"/>
    <xdr:pic>
      <xdr:nvPicPr>
        <xdr:cNvPr id="154" name="Grafik 306" descr="080_EBC_Willi_Schatten.gif">
          <a:extLst>
            <a:ext uri="{FF2B5EF4-FFF2-40B4-BE49-F238E27FC236}">
              <a16:creationId xmlns:a16="http://schemas.microsoft.com/office/drawing/2014/main" id="{00000000-0008-0000-1000-00009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152</xdr:row>
      <xdr:rowOff>19050</xdr:rowOff>
    </xdr:from>
    <xdr:ext cx="466725" cy="647700"/>
    <xdr:pic>
      <xdr:nvPicPr>
        <xdr:cNvPr id="155" name="Grafik 306" descr="080_EBC_Willi_Schatten.gif">
          <a:extLst>
            <a:ext uri="{FF2B5EF4-FFF2-40B4-BE49-F238E27FC236}">
              <a16:creationId xmlns:a16="http://schemas.microsoft.com/office/drawing/2014/main" id="{00000000-0008-0000-1000-00009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153</xdr:row>
      <xdr:rowOff>19050</xdr:rowOff>
    </xdr:from>
    <xdr:ext cx="466725" cy="647700"/>
    <xdr:pic>
      <xdr:nvPicPr>
        <xdr:cNvPr id="156" name="Grafik 306" descr="080_EBC_Willi_Schatten.gif">
          <a:extLst>
            <a:ext uri="{FF2B5EF4-FFF2-40B4-BE49-F238E27FC236}">
              <a16:creationId xmlns:a16="http://schemas.microsoft.com/office/drawing/2014/main" id="{00000000-0008-0000-1000-00009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154</xdr:row>
      <xdr:rowOff>19050</xdr:rowOff>
    </xdr:from>
    <xdr:ext cx="466725" cy="647700"/>
    <xdr:pic>
      <xdr:nvPicPr>
        <xdr:cNvPr id="157" name="Grafik 306" descr="080_EBC_Willi_Schatten.gif">
          <a:extLst>
            <a:ext uri="{FF2B5EF4-FFF2-40B4-BE49-F238E27FC236}">
              <a16:creationId xmlns:a16="http://schemas.microsoft.com/office/drawing/2014/main" id="{00000000-0008-0000-1000-00009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155</xdr:row>
      <xdr:rowOff>19050</xdr:rowOff>
    </xdr:from>
    <xdr:ext cx="466725" cy="647700"/>
    <xdr:pic>
      <xdr:nvPicPr>
        <xdr:cNvPr id="158" name="Grafik 306" descr="080_EBC_Willi_Schatten.gif">
          <a:extLst>
            <a:ext uri="{FF2B5EF4-FFF2-40B4-BE49-F238E27FC236}">
              <a16:creationId xmlns:a16="http://schemas.microsoft.com/office/drawing/2014/main" id="{00000000-0008-0000-1000-00009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156</xdr:row>
      <xdr:rowOff>19050</xdr:rowOff>
    </xdr:from>
    <xdr:ext cx="466725" cy="647700"/>
    <xdr:pic>
      <xdr:nvPicPr>
        <xdr:cNvPr id="159" name="Grafik 306" descr="080_EBC_Willi_Schatten.gif">
          <a:extLst>
            <a:ext uri="{FF2B5EF4-FFF2-40B4-BE49-F238E27FC236}">
              <a16:creationId xmlns:a16="http://schemas.microsoft.com/office/drawing/2014/main" id="{00000000-0008-0000-1000-00009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157</xdr:row>
      <xdr:rowOff>19050</xdr:rowOff>
    </xdr:from>
    <xdr:ext cx="466725" cy="647700"/>
    <xdr:pic>
      <xdr:nvPicPr>
        <xdr:cNvPr id="160" name="Grafik 306" descr="080_EBC_Willi_Schatten.gif">
          <a:extLst>
            <a:ext uri="{FF2B5EF4-FFF2-40B4-BE49-F238E27FC236}">
              <a16:creationId xmlns:a16="http://schemas.microsoft.com/office/drawing/2014/main" id="{00000000-0008-0000-1000-0000A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158</xdr:row>
      <xdr:rowOff>19050</xdr:rowOff>
    </xdr:from>
    <xdr:ext cx="466725" cy="647700"/>
    <xdr:pic>
      <xdr:nvPicPr>
        <xdr:cNvPr id="161" name="Grafik 306" descr="080_EBC_Willi_Schatten.gif">
          <a:extLst>
            <a:ext uri="{FF2B5EF4-FFF2-40B4-BE49-F238E27FC236}">
              <a16:creationId xmlns:a16="http://schemas.microsoft.com/office/drawing/2014/main" id="{00000000-0008-0000-1000-0000A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159</xdr:row>
      <xdr:rowOff>19050</xdr:rowOff>
    </xdr:from>
    <xdr:ext cx="466725" cy="647700"/>
    <xdr:pic>
      <xdr:nvPicPr>
        <xdr:cNvPr id="162" name="Grafik 306" descr="080_EBC_Willi_Schatten.gif">
          <a:extLst>
            <a:ext uri="{FF2B5EF4-FFF2-40B4-BE49-F238E27FC236}">
              <a16:creationId xmlns:a16="http://schemas.microsoft.com/office/drawing/2014/main" id="{00000000-0008-0000-1000-0000A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32</xdr:row>
          <xdr:rowOff>184150</xdr:rowOff>
        </xdr:from>
        <xdr:to>
          <xdr:col>32</xdr:col>
          <xdr:colOff>228600</xdr:colOff>
          <xdr:row>38</xdr:row>
          <xdr:rowOff>171450</xdr:rowOff>
        </xdr:to>
        <xdr:pic>
          <xdr:nvPicPr>
            <xdr:cNvPr id="6" name="Grafik 5">
              <a:extLst>
                <a:ext uri="{FF2B5EF4-FFF2-40B4-BE49-F238E27FC236}">
                  <a16:creationId xmlns:a16="http://schemas.microsoft.com/office/drawing/2014/main" id="{00000000-0008-0000-0300-000006000000}"/>
                </a:ext>
              </a:extLst>
            </xdr:cNvPr>
            <xdr:cNvPicPr>
              <a:picLocks noChangeAspect="1" noChangeArrowheads="1"/>
              <a:extLst>
                <a:ext uri="{84589F7E-364E-4C9E-8A38-B11213B215E9}">
                  <a14:cameraTool cellRange="BILD2" spid="_x0000_s895098"/>
                </a:ext>
              </a:extLst>
            </xdr:cNvPicPr>
          </xdr:nvPicPr>
          <xdr:blipFill>
            <a:blip xmlns:r="http://schemas.openxmlformats.org/officeDocument/2006/relationships" r:embed="rId1"/>
            <a:srcRect/>
            <a:stretch>
              <a:fillRect/>
            </a:stretch>
          </xdr:blipFill>
          <xdr:spPr bwMode="auto">
            <a:xfrm>
              <a:off x="5295900" y="5689600"/>
              <a:ext cx="800100" cy="1130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34</xdr:row>
          <xdr:rowOff>7620</xdr:rowOff>
        </xdr:from>
        <xdr:to>
          <xdr:col>17</xdr:col>
          <xdr:colOff>236220</xdr:colOff>
          <xdr:row>34</xdr:row>
          <xdr:rowOff>220980</xdr:rowOff>
        </xdr:to>
        <xdr:sp macro="" textlink="">
          <xdr:nvSpPr>
            <xdr:cNvPr id="778242" name="Check Box 2" hidden="1">
              <a:extLst>
                <a:ext uri="{63B3BB69-23CF-44E3-9099-C40C66FF867C}">
                  <a14:compatExt spid="_x0000_s778242"/>
                </a:ext>
                <a:ext uri="{FF2B5EF4-FFF2-40B4-BE49-F238E27FC236}">
                  <a16:creationId xmlns:a16="http://schemas.microsoft.com/office/drawing/2014/main" id="{00000000-0008-0000-0400-00000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34</xdr:row>
          <xdr:rowOff>7620</xdr:rowOff>
        </xdr:from>
        <xdr:to>
          <xdr:col>33</xdr:col>
          <xdr:colOff>7620</xdr:colOff>
          <xdr:row>34</xdr:row>
          <xdr:rowOff>220980</xdr:rowOff>
        </xdr:to>
        <xdr:sp macro="" textlink="">
          <xdr:nvSpPr>
            <xdr:cNvPr id="778245" name="Check Box 5" hidden="1">
              <a:extLst>
                <a:ext uri="{63B3BB69-23CF-44E3-9099-C40C66FF867C}">
                  <a14:compatExt spid="_x0000_s778245"/>
                </a:ext>
                <a:ext uri="{FF2B5EF4-FFF2-40B4-BE49-F238E27FC236}">
                  <a16:creationId xmlns:a16="http://schemas.microsoft.com/office/drawing/2014/main" id="{00000000-0008-0000-0400-00000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35</xdr:row>
          <xdr:rowOff>7620</xdr:rowOff>
        </xdr:from>
        <xdr:to>
          <xdr:col>17</xdr:col>
          <xdr:colOff>236220</xdr:colOff>
          <xdr:row>35</xdr:row>
          <xdr:rowOff>220980</xdr:rowOff>
        </xdr:to>
        <xdr:sp macro="" textlink="">
          <xdr:nvSpPr>
            <xdr:cNvPr id="778246" name="Check Box 6" hidden="1">
              <a:extLst>
                <a:ext uri="{63B3BB69-23CF-44E3-9099-C40C66FF867C}">
                  <a14:compatExt spid="_x0000_s778246"/>
                </a:ext>
                <a:ext uri="{FF2B5EF4-FFF2-40B4-BE49-F238E27FC236}">
                  <a16:creationId xmlns:a16="http://schemas.microsoft.com/office/drawing/2014/main" id="{00000000-0008-0000-0400-000006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36</xdr:row>
          <xdr:rowOff>7620</xdr:rowOff>
        </xdr:from>
        <xdr:to>
          <xdr:col>17</xdr:col>
          <xdr:colOff>236220</xdr:colOff>
          <xdr:row>36</xdr:row>
          <xdr:rowOff>220980</xdr:rowOff>
        </xdr:to>
        <xdr:sp macro="" textlink="">
          <xdr:nvSpPr>
            <xdr:cNvPr id="778247" name="Check Box 7" hidden="1">
              <a:extLst>
                <a:ext uri="{63B3BB69-23CF-44E3-9099-C40C66FF867C}">
                  <a14:compatExt spid="_x0000_s778247"/>
                </a:ext>
                <a:ext uri="{FF2B5EF4-FFF2-40B4-BE49-F238E27FC236}">
                  <a16:creationId xmlns:a16="http://schemas.microsoft.com/office/drawing/2014/main" id="{00000000-0008-0000-0400-000007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37</xdr:row>
          <xdr:rowOff>7620</xdr:rowOff>
        </xdr:from>
        <xdr:to>
          <xdr:col>17</xdr:col>
          <xdr:colOff>236220</xdr:colOff>
          <xdr:row>37</xdr:row>
          <xdr:rowOff>220980</xdr:rowOff>
        </xdr:to>
        <xdr:sp macro="" textlink="">
          <xdr:nvSpPr>
            <xdr:cNvPr id="778248" name="Check Box 8" hidden="1">
              <a:extLst>
                <a:ext uri="{63B3BB69-23CF-44E3-9099-C40C66FF867C}">
                  <a14:compatExt spid="_x0000_s778248"/>
                </a:ext>
                <a:ext uri="{FF2B5EF4-FFF2-40B4-BE49-F238E27FC236}">
                  <a16:creationId xmlns:a16="http://schemas.microsoft.com/office/drawing/2014/main" id="{00000000-0008-0000-0400-00000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38</xdr:row>
          <xdr:rowOff>7620</xdr:rowOff>
        </xdr:from>
        <xdr:to>
          <xdr:col>17</xdr:col>
          <xdr:colOff>236220</xdr:colOff>
          <xdr:row>38</xdr:row>
          <xdr:rowOff>220980</xdr:rowOff>
        </xdr:to>
        <xdr:sp macro="" textlink="">
          <xdr:nvSpPr>
            <xdr:cNvPr id="778249" name="Check Box 9" hidden="1">
              <a:extLst>
                <a:ext uri="{63B3BB69-23CF-44E3-9099-C40C66FF867C}">
                  <a14:compatExt spid="_x0000_s778249"/>
                </a:ext>
                <a:ext uri="{FF2B5EF4-FFF2-40B4-BE49-F238E27FC236}">
                  <a16:creationId xmlns:a16="http://schemas.microsoft.com/office/drawing/2014/main" id="{00000000-0008-0000-0400-000009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39</xdr:row>
          <xdr:rowOff>7620</xdr:rowOff>
        </xdr:from>
        <xdr:to>
          <xdr:col>17</xdr:col>
          <xdr:colOff>236220</xdr:colOff>
          <xdr:row>39</xdr:row>
          <xdr:rowOff>220980</xdr:rowOff>
        </xdr:to>
        <xdr:sp macro="" textlink="">
          <xdr:nvSpPr>
            <xdr:cNvPr id="778250" name="Check Box 10" hidden="1">
              <a:extLst>
                <a:ext uri="{63B3BB69-23CF-44E3-9099-C40C66FF867C}">
                  <a14:compatExt spid="_x0000_s778250"/>
                </a:ext>
                <a:ext uri="{FF2B5EF4-FFF2-40B4-BE49-F238E27FC236}">
                  <a16:creationId xmlns:a16="http://schemas.microsoft.com/office/drawing/2014/main" id="{00000000-0008-0000-0400-00000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40</xdr:row>
          <xdr:rowOff>7620</xdr:rowOff>
        </xdr:from>
        <xdr:to>
          <xdr:col>17</xdr:col>
          <xdr:colOff>236220</xdr:colOff>
          <xdr:row>40</xdr:row>
          <xdr:rowOff>220980</xdr:rowOff>
        </xdr:to>
        <xdr:sp macro="" textlink="">
          <xdr:nvSpPr>
            <xdr:cNvPr id="778251" name="Check Box 11" hidden="1">
              <a:extLst>
                <a:ext uri="{63B3BB69-23CF-44E3-9099-C40C66FF867C}">
                  <a14:compatExt spid="_x0000_s778251"/>
                </a:ext>
                <a:ext uri="{FF2B5EF4-FFF2-40B4-BE49-F238E27FC236}">
                  <a16:creationId xmlns:a16="http://schemas.microsoft.com/office/drawing/2014/main" id="{00000000-0008-0000-0400-00000B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41</xdr:row>
          <xdr:rowOff>7620</xdr:rowOff>
        </xdr:from>
        <xdr:to>
          <xdr:col>17</xdr:col>
          <xdr:colOff>236220</xdr:colOff>
          <xdr:row>41</xdr:row>
          <xdr:rowOff>220980</xdr:rowOff>
        </xdr:to>
        <xdr:sp macro="" textlink="">
          <xdr:nvSpPr>
            <xdr:cNvPr id="778252" name="Check Box 12" hidden="1">
              <a:extLst>
                <a:ext uri="{63B3BB69-23CF-44E3-9099-C40C66FF867C}">
                  <a14:compatExt spid="_x0000_s778252"/>
                </a:ext>
                <a:ext uri="{FF2B5EF4-FFF2-40B4-BE49-F238E27FC236}">
                  <a16:creationId xmlns:a16="http://schemas.microsoft.com/office/drawing/2014/main" id="{00000000-0008-0000-0400-00000C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42</xdr:row>
          <xdr:rowOff>7620</xdr:rowOff>
        </xdr:from>
        <xdr:to>
          <xdr:col>17</xdr:col>
          <xdr:colOff>236220</xdr:colOff>
          <xdr:row>42</xdr:row>
          <xdr:rowOff>220980</xdr:rowOff>
        </xdr:to>
        <xdr:sp macro="" textlink="">
          <xdr:nvSpPr>
            <xdr:cNvPr id="778253" name="Check Box 13" hidden="1">
              <a:extLst>
                <a:ext uri="{63B3BB69-23CF-44E3-9099-C40C66FF867C}">
                  <a14:compatExt spid="_x0000_s778253"/>
                </a:ext>
                <a:ext uri="{FF2B5EF4-FFF2-40B4-BE49-F238E27FC236}">
                  <a16:creationId xmlns:a16="http://schemas.microsoft.com/office/drawing/2014/main" id="{00000000-0008-0000-0400-00000D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43</xdr:row>
          <xdr:rowOff>7620</xdr:rowOff>
        </xdr:from>
        <xdr:to>
          <xdr:col>17</xdr:col>
          <xdr:colOff>236220</xdr:colOff>
          <xdr:row>43</xdr:row>
          <xdr:rowOff>220980</xdr:rowOff>
        </xdr:to>
        <xdr:sp macro="" textlink="">
          <xdr:nvSpPr>
            <xdr:cNvPr id="778254" name="Check Box 14" hidden="1">
              <a:extLst>
                <a:ext uri="{63B3BB69-23CF-44E3-9099-C40C66FF867C}">
                  <a14:compatExt spid="_x0000_s778254"/>
                </a:ext>
                <a:ext uri="{FF2B5EF4-FFF2-40B4-BE49-F238E27FC236}">
                  <a16:creationId xmlns:a16="http://schemas.microsoft.com/office/drawing/2014/main" id="{00000000-0008-0000-0400-00000E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35</xdr:row>
          <xdr:rowOff>7620</xdr:rowOff>
        </xdr:from>
        <xdr:to>
          <xdr:col>33</xdr:col>
          <xdr:colOff>7620</xdr:colOff>
          <xdr:row>35</xdr:row>
          <xdr:rowOff>220980</xdr:rowOff>
        </xdr:to>
        <xdr:sp macro="" textlink="">
          <xdr:nvSpPr>
            <xdr:cNvPr id="778255" name="Check Box 15" hidden="1">
              <a:extLst>
                <a:ext uri="{63B3BB69-23CF-44E3-9099-C40C66FF867C}">
                  <a14:compatExt spid="_x0000_s778255"/>
                </a:ext>
                <a:ext uri="{FF2B5EF4-FFF2-40B4-BE49-F238E27FC236}">
                  <a16:creationId xmlns:a16="http://schemas.microsoft.com/office/drawing/2014/main" id="{00000000-0008-0000-0400-00000F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36</xdr:row>
          <xdr:rowOff>7620</xdr:rowOff>
        </xdr:from>
        <xdr:to>
          <xdr:col>33</xdr:col>
          <xdr:colOff>7620</xdr:colOff>
          <xdr:row>36</xdr:row>
          <xdr:rowOff>220980</xdr:rowOff>
        </xdr:to>
        <xdr:sp macro="" textlink="">
          <xdr:nvSpPr>
            <xdr:cNvPr id="778256" name="Check Box 16" hidden="1">
              <a:extLst>
                <a:ext uri="{63B3BB69-23CF-44E3-9099-C40C66FF867C}">
                  <a14:compatExt spid="_x0000_s778256"/>
                </a:ext>
                <a:ext uri="{FF2B5EF4-FFF2-40B4-BE49-F238E27FC236}">
                  <a16:creationId xmlns:a16="http://schemas.microsoft.com/office/drawing/2014/main" id="{00000000-0008-0000-0400-000010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37</xdr:row>
          <xdr:rowOff>7620</xdr:rowOff>
        </xdr:from>
        <xdr:to>
          <xdr:col>33</xdr:col>
          <xdr:colOff>7620</xdr:colOff>
          <xdr:row>37</xdr:row>
          <xdr:rowOff>220980</xdr:rowOff>
        </xdr:to>
        <xdr:sp macro="" textlink="">
          <xdr:nvSpPr>
            <xdr:cNvPr id="778257" name="Check Box 17" hidden="1">
              <a:extLst>
                <a:ext uri="{63B3BB69-23CF-44E3-9099-C40C66FF867C}">
                  <a14:compatExt spid="_x0000_s778257"/>
                </a:ext>
                <a:ext uri="{FF2B5EF4-FFF2-40B4-BE49-F238E27FC236}">
                  <a16:creationId xmlns:a16="http://schemas.microsoft.com/office/drawing/2014/main" id="{00000000-0008-0000-0400-000011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38</xdr:row>
          <xdr:rowOff>7620</xdr:rowOff>
        </xdr:from>
        <xdr:to>
          <xdr:col>33</xdr:col>
          <xdr:colOff>7620</xdr:colOff>
          <xdr:row>38</xdr:row>
          <xdr:rowOff>220980</xdr:rowOff>
        </xdr:to>
        <xdr:sp macro="" textlink="">
          <xdr:nvSpPr>
            <xdr:cNvPr id="778258" name="Check Box 18" hidden="1">
              <a:extLst>
                <a:ext uri="{63B3BB69-23CF-44E3-9099-C40C66FF867C}">
                  <a14:compatExt spid="_x0000_s778258"/>
                </a:ext>
                <a:ext uri="{FF2B5EF4-FFF2-40B4-BE49-F238E27FC236}">
                  <a16:creationId xmlns:a16="http://schemas.microsoft.com/office/drawing/2014/main" id="{00000000-0008-0000-0400-00001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39</xdr:row>
          <xdr:rowOff>7620</xdr:rowOff>
        </xdr:from>
        <xdr:to>
          <xdr:col>33</xdr:col>
          <xdr:colOff>7620</xdr:colOff>
          <xdr:row>39</xdr:row>
          <xdr:rowOff>220980</xdr:rowOff>
        </xdr:to>
        <xdr:sp macro="" textlink="">
          <xdr:nvSpPr>
            <xdr:cNvPr id="778259" name="Check Box 19" hidden="1">
              <a:extLst>
                <a:ext uri="{63B3BB69-23CF-44E3-9099-C40C66FF867C}">
                  <a14:compatExt spid="_x0000_s778259"/>
                </a:ext>
                <a:ext uri="{FF2B5EF4-FFF2-40B4-BE49-F238E27FC236}">
                  <a16:creationId xmlns:a16="http://schemas.microsoft.com/office/drawing/2014/main" id="{00000000-0008-0000-0400-000013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40</xdr:row>
          <xdr:rowOff>7620</xdr:rowOff>
        </xdr:from>
        <xdr:to>
          <xdr:col>33</xdr:col>
          <xdr:colOff>7620</xdr:colOff>
          <xdr:row>40</xdr:row>
          <xdr:rowOff>220980</xdr:rowOff>
        </xdr:to>
        <xdr:sp macro="" textlink="">
          <xdr:nvSpPr>
            <xdr:cNvPr id="778260" name="Check Box 20" hidden="1">
              <a:extLst>
                <a:ext uri="{63B3BB69-23CF-44E3-9099-C40C66FF867C}">
                  <a14:compatExt spid="_x0000_s778260"/>
                </a:ext>
                <a:ext uri="{FF2B5EF4-FFF2-40B4-BE49-F238E27FC236}">
                  <a16:creationId xmlns:a16="http://schemas.microsoft.com/office/drawing/2014/main" id="{00000000-0008-0000-0400-000014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41</xdr:row>
          <xdr:rowOff>7620</xdr:rowOff>
        </xdr:from>
        <xdr:to>
          <xdr:col>33</xdr:col>
          <xdr:colOff>7620</xdr:colOff>
          <xdr:row>41</xdr:row>
          <xdr:rowOff>220980</xdr:rowOff>
        </xdr:to>
        <xdr:sp macro="" textlink="">
          <xdr:nvSpPr>
            <xdr:cNvPr id="778261" name="Check Box 21" hidden="1">
              <a:extLst>
                <a:ext uri="{63B3BB69-23CF-44E3-9099-C40C66FF867C}">
                  <a14:compatExt spid="_x0000_s778261"/>
                </a:ext>
                <a:ext uri="{FF2B5EF4-FFF2-40B4-BE49-F238E27FC236}">
                  <a16:creationId xmlns:a16="http://schemas.microsoft.com/office/drawing/2014/main" id="{00000000-0008-0000-0400-00001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42</xdr:row>
          <xdr:rowOff>7620</xdr:rowOff>
        </xdr:from>
        <xdr:to>
          <xdr:col>33</xdr:col>
          <xdr:colOff>7620</xdr:colOff>
          <xdr:row>42</xdr:row>
          <xdr:rowOff>220980</xdr:rowOff>
        </xdr:to>
        <xdr:sp macro="" textlink="">
          <xdr:nvSpPr>
            <xdr:cNvPr id="778262" name="Check Box 22" hidden="1">
              <a:extLst>
                <a:ext uri="{63B3BB69-23CF-44E3-9099-C40C66FF867C}">
                  <a14:compatExt spid="_x0000_s778262"/>
                </a:ext>
                <a:ext uri="{FF2B5EF4-FFF2-40B4-BE49-F238E27FC236}">
                  <a16:creationId xmlns:a16="http://schemas.microsoft.com/office/drawing/2014/main" id="{00000000-0008-0000-0400-000016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43</xdr:row>
          <xdr:rowOff>7620</xdr:rowOff>
        </xdr:from>
        <xdr:to>
          <xdr:col>33</xdr:col>
          <xdr:colOff>7620</xdr:colOff>
          <xdr:row>43</xdr:row>
          <xdr:rowOff>220980</xdr:rowOff>
        </xdr:to>
        <xdr:sp macro="" textlink="">
          <xdr:nvSpPr>
            <xdr:cNvPr id="778263" name="Check Box 23" hidden="1">
              <a:extLst>
                <a:ext uri="{63B3BB69-23CF-44E3-9099-C40C66FF867C}">
                  <a14:compatExt spid="_x0000_s778263"/>
                </a:ext>
                <a:ext uri="{FF2B5EF4-FFF2-40B4-BE49-F238E27FC236}">
                  <a16:creationId xmlns:a16="http://schemas.microsoft.com/office/drawing/2014/main" id="{00000000-0008-0000-0400-000017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44</xdr:row>
          <xdr:rowOff>7620</xdr:rowOff>
        </xdr:from>
        <xdr:to>
          <xdr:col>17</xdr:col>
          <xdr:colOff>236220</xdr:colOff>
          <xdr:row>44</xdr:row>
          <xdr:rowOff>220980</xdr:rowOff>
        </xdr:to>
        <xdr:sp macro="" textlink="">
          <xdr:nvSpPr>
            <xdr:cNvPr id="778264" name="Check Box 24" hidden="1">
              <a:extLst>
                <a:ext uri="{63B3BB69-23CF-44E3-9099-C40C66FF867C}">
                  <a14:compatExt spid="_x0000_s778264"/>
                </a:ext>
                <a:ext uri="{FF2B5EF4-FFF2-40B4-BE49-F238E27FC236}">
                  <a16:creationId xmlns:a16="http://schemas.microsoft.com/office/drawing/2014/main" id="{00000000-0008-0000-0400-00001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44</xdr:row>
          <xdr:rowOff>7620</xdr:rowOff>
        </xdr:from>
        <xdr:to>
          <xdr:col>33</xdr:col>
          <xdr:colOff>7620</xdr:colOff>
          <xdr:row>44</xdr:row>
          <xdr:rowOff>220980</xdr:rowOff>
        </xdr:to>
        <xdr:sp macro="" textlink="">
          <xdr:nvSpPr>
            <xdr:cNvPr id="778266" name="Check Box 26" hidden="1">
              <a:extLst>
                <a:ext uri="{63B3BB69-23CF-44E3-9099-C40C66FF867C}">
                  <a14:compatExt spid="_x0000_s778266"/>
                </a:ext>
                <a:ext uri="{FF2B5EF4-FFF2-40B4-BE49-F238E27FC236}">
                  <a16:creationId xmlns:a16="http://schemas.microsoft.com/office/drawing/2014/main" id="{00000000-0008-0000-0400-00001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45</xdr:row>
          <xdr:rowOff>7620</xdr:rowOff>
        </xdr:from>
        <xdr:to>
          <xdr:col>17</xdr:col>
          <xdr:colOff>236220</xdr:colOff>
          <xdr:row>45</xdr:row>
          <xdr:rowOff>220980</xdr:rowOff>
        </xdr:to>
        <xdr:sp macro="" textlink="">
          <xdr:nvSpPr>
            <xdr:cNvPr id="778268" name="Check Box 28" hidden="1">
              <a:extLst>
                <a:ext uri="{63B3BB69-23CF-44E3-9099-C40C66FF867C}">
                  <a14:compatExt spid="_x0000_s778268"/>
                </a:ext>
                <a:ext uri="{FF2B5EF4-FFF2-40B4-BE49-F238E27FC236}">
                  <a16:creationId xmlns:a16="http://schemas.microsoft.com/office/drawing/2014/main" id="{00000000-0008-0000-0400-00001C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50</xdr:row>
          <xdr:rowOff>7620</xdr:rowOff>
        </xdr:from>
        <xdr:to>
          <xdr:col>17</xdr:col>
          <xdr:colOff>236220</xdr:colOff>
          <xdr:row>50</xdr:row>
          <xdr:rowOff>220980</xdr:rowOff>
        </xdr:to>
        <xdr:sp macro="" textlink="">
          <xdr:nvSpPr>
            <xdr:cNvPr id="778302" name="Check Box 62" hidden="1">
              <a:extLst>
                <a:ext uri="{63B3BB69-23CF-44E3-9099-C40C66FF867C}">
                  <a14:compatExt spid="_x0000_s778302"/>
                </a:ext>
                <a:ext uri="{FF2B5EF4-FFF2-40B4-BE49-F238E27FC236}">
                  <a16:creationId xmlns:a16="http://schemas.microsoft.com/office/drawing/2014/main" id="{00000000-0008-0000-0400-00003E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50</xdr:row>
          <xdr:rowOff>7620</xdr:rowOff>
        </xdr:from>
        <xdr:to>
          <xdr:col>33</xdr:col>
          <xdr:colOff>7620</xdr:colOff>
          <xdr:row>50</xdr:row>
          <xdr:rowOff>220980</xdr:rowOff>
        </xdr:to>
        <xdr:sp macro="" textlink="">
          <xdr:nvSpPr>
            <xdr:cNvPr id="778303" name="Check Box 63" hidden="1">
              <a:extLst>
                <a:ext uri="{63B3BB69-23CF-44E3-9099-C40C66FF867C}">
                  <a14:compatExt spid="_x0000_s778303"/>
                </a:ext>
                <a:ext uri="{FF2B5EF4-FFF2-40B4-BE49-F238E27FC236}">
                  <a16:creationId xmlns:a16="http://schemas.microsoft.com/office/drawing/2014/main" id="{00000000-0008-0000-0400-00003F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51</xdr:row>
          <xdr:rowOff>7620</xdr:rowOff>
        </xdr:from>
        <xdr:to>
          <xdr:col>17</xdr:col>
          <xdr:colOff>236220</xdr:colOff>
          <xdr:row>51</xdr:row>
          <xdr:rowOff>220980</xdr:rowOff>
        </xdr:to>
        <xdr:sp macro="" textlink="">
          <xdr:nvSpPr>
            <xdr:cNvPr id="778304" name="Check Box 64" hidden="1">
              <a:extLst>
                <a:ext uri="{63B3BB69-23CF-44E3-9099-C40C66FF867C}">
                  <a14:compatExt spid="_x0000_s778304"/>
                </a:ext>
                <a:ext uri="{FF2B5EF4-FFF2-40B4-BE49-F238E27FC236}">
                  <a16:creationId xmlns:a16="http://schemas.microsoft.com/office/drawing/2014/main" id="{00000000-0008-0000-0400-000040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51</xdr:row>
          <xdr:rowOff>7620</xdr:rowOff>
        </xdr:from>
        <xdr:to>
          <xdr:col>33</xdr:col>
          <xdr:colOff>7620</xdr:colOff>
          <xdr:row>51</xdr:row>
          <xdr:rowOff>220980</xdr:rowOff>
        </xdr:to>
        <xdr:sp macro="" textlink="">
          <xdr:nvSpPr>
            <xdr:cNvPr id="778305" name="Check Box 65" hidden="1">
              <a:extLst>
                <a:ext uri="{63B3BB69-23CF-44E3-9099-C40C66FF867C}">
                  <a14:compatExt spid="_x0000_s778305"/>
                </a:ext>
                <a:ext uri="{FF2B5EF4-FFF2-40B4-BE49-F238E27FC236}">
                  <a16:creationId xmlns:a16="http://schemas.microsoft.com/office/drawing/2014/main" id="{00000000-0008-0000-0400-000041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52</xdr:row>
          <xdr:rowOff>7620</xdr:rowOff>
        </xdr:from>
        <xdr:to>
          <xdr:col>17</xdr:col>
          <xdr:colOff>236220</xdr:colOff>
          <xdr:row>52</xdr:row>
          <xdr:rowOff>220980</xdr:rowOff>
        </xdr:to>
        <xdr:sp macro="" textlink="">
          <xdr:nvSpPr>
            <xdr:cNvPr id="778306" name="Check Box 66" hidden="1">
              <a:extLst>
                <a:ext uri="{63B3BB69-23CF-44E3-9099-C40C66FF867C}">
                  <a14:compatExt spid="_x0000_s778306"/>
                </a:ext>
                <a:ext uri="{FF2B5EF4-FFF2-40B4-BE49-F238E27FC236}">
                  <a16:creationId xmlns:a16="http://schemas.microsoft.com/office/drawing/2014/main" id="{00000000-0008-0000-0400-00004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52</xdr:row>
          <xdr:rowOff>7620</xdr:rowOff>
        </xdr:from>
        <xdr:to>
          <xdr:col>33</xdr:col>
          <xdr:colOff>7620</xdr:colOff>
          <xdr:row>52</xdr:row>
          <xdr:rowOff>220980</xdr:rowOff>
        </xdr:to>
        <xdr:sp macro="" textlink="">
          <xdr:nvSpPr>
            <xdr:cNvPr id="778307" name="Check Box 67" hidden="1">
              <a:extLst>
                <a:ext uri="{63B3BB69-23CF-44E3-9099-C40C66FF867C}">
                  <a14:compatExt spid="_x0000_s778307"/>
                </a:ext>
                <a:ext uri="{FF2B5EF4-FFF2-40B4-BE49-F238E27FC236}">
                  <a16:creationId xmlns:a16="http://schemas.microsoft.com/office/drawing/2014/main" id="{00000000-0008-0000-0400-000043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53</xdr:row>
          <xdr:rowOff>7620</xdr:rowOff>
        </xdr:from>
        <xdr:to>
          <xdr:col>17</xdr:col>
          <xdr:colOff>236220</xdr:colOff>
          <xdr:row>53</xdr:row>
          <xdr:rowOff>220980</xdr:rowOff>
        </xdr:to>
        <xdr:sp macro="" textlink="">
          <xdr:nvSpPr>
            <xdr:cNvPr id="778308" name="Check Box 68" hidden="1">
              <a:extLst>
                <a:ext uri="{63B3BB69-23CF-44E3-9099-C40C66FF867C}">
                  <a14:compatExt spid="_x0000_s778308"/>
                </a:ext>
                <a:ext uri="{FF2B5EF4-FFF2-40B4-BE49-F238E27FC236}">
                  <a16:creationId xmlns:a16="http://schemas.microsoft.com/office/drawing/2014/main" id="{00000000-0008-0000-0400-000044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53</xdr:row>
          <xdr:rowOff>7620</xdr:rowOff>
        </xdr:from>
        <xdr:to>
          <xdr:col>33</xdr:col>
          <xdr:colOff>7620</xdr:colOff>
          <xdr:row>53</xdr:row>
          <xdr:rowOff>220980</xdr:rowOff>
        </xdr:to>
        <xdr:sp macro="" textlink="">
          <xdr:nvSpPr>
            <xdr:cNvPr id="778309" name="Check Box 69" hidden="1">
              <a:extLst>
                <a:ext uri="{63B3BB69-23CF-44E3-9099-C40C66FF867C}">
                  <a14:compatExt spid="_x0000_s778309"/>
                </a:ext>
                <a:ext uri="{FF2B5EF4-FFF2-40B4-BE49-F238E27FC236}">
                  <a16:creationId xmlns:a16="http://schemas.microsoft.com/office/drawing/2014/main" id="{00000000-0008-0000-0400-00004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54</xdr:row>
          <xdr:rowOff>7620</xdr:rowOff>
        </xdr:from>
        <xdr:to>
          <xdr:col>17</xdr:col>
          <xdr:colOff>236220</xdr:colOff>
          <xdr:row>54</xdr:row>
          <xdr:rowOff>220980</xdr:rowOff>
        </xdr:to>
        <xdr:sp macro="" textlink="">
          <xdr:nvSpPr>
            <xdr:cNvPr id="778312" name="Check Box 72" hidden="1">
              <a:extLst>
                <a:ext uri="{63B3BB69-23CF-44E3-9099-C40C66FF867C}">
                  <a14:compatExt spid="_x0000_s778312"/>
                </a:ext>
                <a:ext uri="{FF2B5EF4-FFF2-40B4-BE49-F238E27FC236}">
                  <a16:creationId xmlns:a16="http://schemas.microsoft.com/office/drawing/2014/main" id="{00000000-0008-0000-0400-00004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54</xdr:row>
          <xdr:rowOff>7620</xdr:rowOff>
        </xdr:from>
        <xdr:to>
          <xdr:col>33</xdr:col>
          <xdr:colOff>7620</xdr:colOff>
          <xdr:row>54</xdr:row>
          <xdr:rowOff>220980</xdr:rowOff>
        </xdr:to>
        <xdr:sp macro="" textlink="">
          <xdr:nvSpPr>
            <xdr:cNvPr id="778313" name="Check Box 73" hidden="1">
              <a:extLst>
                <a:ext uri="{63B3BB69-23CF-44E3-9099-C40C66FF867C}">
                  <a14:compatExt spid="_x0000_s778313"/>
                </a:ext>
                <a:ext uri="{FF2B5EF4-FFF2-40B4-BE49-F238E27FC236}">
                  <a16:creationId xmlns:a16="http://schemas.microsoft.com/office/drawing/2014/main" id="{00000000-0008-0000-0400-000049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55</xdr:row>
          <xdr:rowOff>7620</xdr:rowOff>
        </xdr:from>
        <xdr:to>
          <xdr:col>17</xdr:col>
          <xdr:colOff>236220</xdr:colOff>
          <xdr:row>55</xdr:row>
          <xdr:rowOff>220980</xdr:rowOff>
        </xdr:to>
        <xdr:sp macro="" textlink="">
          <xdr:nvSpPr>
            <xdr:cNvPr id="778314" name="Check Box 74" hidden="1">
              <a:extLst>
                <a:ext uri="{63B3BB69-23CF-44E3-9099-C40C66FF867C}">
                  <a14:compatExt spid="_x0000_s778314"/>
                </a:ext>
                <a:ext uri="{FF2B5EF4-FFF2-40B4-BE49-F238E27FC236}">
                  <a16:creationId xmlns:a16="http://schemas.microsoft.com/office/drawing/2014/main" id="{00000000-0008-0000-0400-00004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xdr:colOff>
          <xdr:row>55</xdr:row>
          <xdr:rowOff>7620</xdr:rowOff>
        </xdr:from>
        <xdr:to>
          <xdr:col>33</xdr:col>
          <xdr:colOff>7620</xdr:colOff>
          <xdr:row>55</xdr:row>
          <xdr:rowOff>220980</xdr:rowOff>
        </xdr:to>
        <xdr:sp macro="" textlink="">
          <xdr:nvSpPr>
            <xdr:cNvPr id="778315" name="Check Box 75" hidden="1">
              <a:extLst>
                <a:ext uri="{63B3BB69-23CF-44E3-9099-C40C66FF867C}">
                  <a14:compatExt spid="_x0000_s778315"/>
                </a:ext>
                <a:ext uri="{FF2B5EF4-FFF2-40B4-BE49-F238E27FC236}">
                  <a16:creationId xmlns:a16="http://schemas.microsoft.com/office/drawing/2014/main" id="{00000000-0008-0000-0400-00004B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7938</xdr:colOff>
      <xdr:row>27</xdr:row>
      <xdr:rowOff>190499</xdr:rowOff>
    </xdr:from>
    <xdr:to>
      <xdr:col>1</xdr:col>
      <xdr:colOff>43938</xdr:colOff>
      <xdr:row>27</xdr:row>
      <xdr:rowOff>190499</xdr:rowOff>
    </xdr:to>
    <xdr:cxnSp macro="">
      <xdr:nvCxnSpPr>
        <xdr:cNvPr id="3" name="Gerade Verbindung 2">
          <a:extLst>
            <a:ext uri="{FF2B5EF4-FFF2-40B4-BE49-F238E27FC236}">
              <a16:creationId xmlns:a16="http://schemas.microsoft.com/office/drawing/2014/main" id="{00000000-0008-0000-0500-000003000000}"/>
            </a:ext>
          </a:extLst>
        </xdr:cNvPr>
        <xdr:cNvCxnSpPr/>
      </xdr:nvCxnSpPr>
      <xdr:spPr>
        <a:xfrm>
          <a:off x="87313" y="4937124"/>
          <a:ext cx="36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1578</xdr:colOff>
      <xdr:row>20</xdr:row>
      <xdr:rowOff>64985</xdr:rowOff>
    </xdr:from>
    <xdr:to>
      <xdr:col>1</xdr:col>
      <xdr:colOff>37578</xdr:colOff>
      <xdr:row>20</xdr:row>
      <xdr:rowOff>64985</xdr:rowOff>
    </xdr:to>
    <xdr:cxnSp macro="">
      <xdr:nvCxnSpPr>
        <xdr:cNvPr id="4" name="Gerade Verbindung 3">
          <a:extLst>
            <a:ext uri="{FF2B5EF4-FFF2-40B4-BE49-F238E27FC236}">
              <a16:creationId xmlns:a16="http://schemas.microsoft.com/office/drawing/2014/main" id="{00000000-0008-0000-0500-000004000000}"/>
            </a:ext>
          </a:extLst>
        </xdr:cNvPr>
        <xdr:cNvCxnSpPr/>
      </xdr:nvCxnSpPr>
      <xdr:spPr>
        <a:xfrm>
          <a:off x="80953" y="3478110"/>
          <a:ext cx="36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30798</xdr:colOff>
          <xdr:row>7</xdr:row>
          <xdr:rowOff>15877</xdr:rowOff>
        </xdr:from>
        <xdr:to>
          <xdr:col>33</xdr:col>
          <xdr:colOff>13311</xdr:colOff>
          <xdr:row>14</xdr:row>
          <xdr:rowOff>9527</xdr:rowOff>
        </xdr:to>
        <xdr:pic>
          <xdr:nvPicPr>
            <xdr:cNvPr id="763930" name="Image1">
              <a:extLst>
                <a:ext uri="{FF2B5EF4-FFF2-40B4-BE49-F238E27FC236}">
                  <a16:creationId xmlns:a16="http://schemas.microsoft.com/office/drawing/2014/main" id="{00000000-0008-0000-0600-00001AA80B00}"/>
                </a:ext>
              </a:extLst>
            </xdr:cNvPr>
            <xdr:cNvPicPr preferRelativeResize="0">
              <a:picLocks noChangeArrowheads="1" noChangeShapeType="1"/>
              <a:extLst>
                <a:ext uri="{84589F7E-364E-4C9E-8A38-B11213B215E9}">
                  <a14:cameraTool cellRange="BILD" spid="_x0000_s876829"/>
                </a:ext>
              </a:extLst>
            </xdr:cNvPicPr>
          </xdr:nvPicPr>
          <xdr:blipFill>
            <a:blip xmlns:r="http://schemas.openxmlformats.org/officeDocument/2006/relationships" r:embed="rId1"/>
            <a:srcRect/>
            <a:stretch>
              <a:fillRect/>
            </a:stretch>
          </xdr:blipFill>
          <xdr:spPr bwMode="auto">
            <a:xfrm>
              <a:off x="5593398" y="746127"/>
              <a:ext cx="490513" cy="62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22860</xdr:colOff>
          <xdr:row>50</xdr:row>
          <xdr:rowOff>106680</xdr:rowOff>
        </xdr:from>
        <xdr:to>
          <xdr:col>16</xdr:col>
          <xdr:colOff>198120</xdr:colOff>
          <xdr:row>52</xdr:row>
          <xdr:rowOff>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700-0000140C0000}"/>
                </a:ext>
              </a:extLst>
            </xdr:cNvPr>
            <xdr:cNvSpPr/>
          </xdr:nvSpPr>
          <xdr:spPr bwMode="auto">
            <a:xfrm>
              <a:off x="0" y="0"/>
              <a:ext cx="0" cy="0"/>
            </a:xfrm>
            <a:prstGeom prst="rect">
              <a:avLst/>
            </a:prstGeom>
            <a:solidFill>
              <a:srgbClr val="C0C0C0" mc:Ignorable="a14" a14:legacySpreadsheetColorIndex="22"/>
            </a:solidFill>
            <a:ln w="635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de-DE" sz="800" b="0" i="0" u="none" strike="noStrike" baseline="0">
                  <a:solidFill>
                    <a:srgbClr val="000000"/>
                  </a:solidFill>
                  <a:latin typeface="Tahoma"/>
                  <a:ea typeface="Tahoma"/>
                  <a:cs typeface="Tahoma"/>
                </a:rPr>
                <a:t>Verzuckerung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55563</xdr:colOff>
          <xdr:row>8</xdr:row>
          <xdr:rowOff>1588</xdr:rowOff>
        </xdr:from>
        <xdr:to>
          <xdr:col>34</xdr:col>
          <xdr:colOff>6348</xdr:colOff>
          <xdr:row>15</xdr:row>
          <xdr:rowOff>12699</xdr:rowOff>
        </xdr:to>
        <xdr:pic>
          <xdr:nvPicPr>
            <xdr:cNvPr id="750109" name="Image2">
              <a:extLst>
                <a:ext uri="{FF2B5EF4-FFF2-40B4-BE49-F238E27FC236}">
                  <a16:creationId xmlns:a16="http://schemas.microsoft.com/office/drawing/2014/main" id="{00000000-0008-0000-0700-00001D720B00}"/>
                </a:ext>
              </a:extLst>
            </xdr:cNvPr>
            <xdr:cNvPicPr preferRelativeResize="0">
              <a:picLocks noChangeArrowheads="1" noChangeShapeType="1"/>
              <a:extLst>
                <a:ext uri="{84589F7E-364E-4C9E-8A38-B11213B215E9}">
                  <a14:cameraTool cellRange="BILD" spid="_x0000_s821755"/>
                </a:ext>
              </a:extLst>
            </xdr:cNvPicPr>
          </xdr:nvPicPr>
          <xdr:blipFill>
            <a:blip xmlns:r="http://schemas.openxmlformats.org/officeDocument/2006/relationships" r:embed="rId1"/>
            <a:srcRect/>
            <a:stretch>
              <a:fillRect/>
            </a:stretch>
          </xdr:blipFill>
          <xdr:spPr bwMode="auto">
            <a:xfrm>
              <a:off x="5459413" y="757238"/>
              <a:ext cx="636585" cy="9890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22860</xdr:colOff>
          <xdr:row>50</xdr:row>
          <xdr:rowOff>106680</xdr:rowOff>
        </xdr:from>
        <xdr:to>
          <xdr:col>16</xdr:col>
          <xdr:colOff>198120</xdr:colOff>
          <xdr:row>52</xdr:row>
          <xdr:rowOff>0</xdr:rowOff>
        </xdr:to>
        <xdr:sp macro="" textlink="">
          <xdr:nvSpPr>
            <xdr:cNvPr id="911361" name="Check Box 1" hidden="1">
              <a:extLst>
                <a:ext uri="{63B3BB69-23CF-44E3-9099-C40C66FF867C}">
                  <a14:compatExt spid="_x0000_s911361"/>
                </a:ext>
                <a:ext uri="{FF2B5EF4-FFF2-40B4-BE49-F238E27FC236}">
                  <a16:creationId xmlns:a16="http://schemas.microsoft.com/office/drawing/2014/main" id="{00000000-0008-0000-0800-000001E80D00}"/>
                </a:ext>
              </a:extLst>
            </xdr:cNvPr>
            <xdr:cNvSpPr/>
          </xdr:nvSpPr>
          <xdr:spPr bwMode="auto">
            <a:xfrm>
              <a:off x="0" y="0"/>
              <a:ext cx="0" cy="0"/>
            </a:xfrm>
            <a:prstGeom prst="rect">
              <a:avLst/>
            </a:prstGeom>
            <a:solidFill>
              <a:srgbClr val="FFFFFF" mc:Ignorable="a14" a14:legacySpreadsheetColorIndex="65"/>
            </a:solidFill>
            <a:ln w="6350">
              <a:solidFill>
                <a:srgbClr val="000000" mc:Ignorable="a14" a14:legacySpreadsheetColorIndex="64"/>
              </a:solidFill>
              <a:miter lim="800000"/>
              <a:headEnd/>
              <a:tailEnd/>
            </a:ln>
          </xdr:spPr>
          <xdr:txBody>
            <a:bodyPr vertOverflow="clip" wrap="square" lIns="27432" tIns="22860" rIns="0" bIns="22860" anchor="ctr" upright="1"/>
            <a:lstStyle/>
            <a:p>
              <a:pPr algn="l" rtl="0">
                <a:defRPr sz="1000"/>
              </a:pPr>
              <a:r>
                <a:rPr lang="de-DE" sz="800" b="0" i="0" u="none" strike="noStrike" baseline="0">
                  <a:solidFill>
                    <a:srgbClr val="000000"/>
                  </a:solidFill>
                  <a:latin typeface="Tahoma"/>
                  <a:ea typeface="Tahoma"/>
                  <a:cs typeface="Tahoma"/>
                </a:rPr>
                <a:t>Verzuckerung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55563</xdr:colOff>
          <xdr:row>8</xdr:row>
          <xdr:rowOff>1588</xdr:rowOff>
        </xdr:from>
        <xdr:to>
          <xdr:col>34</xdr:col>
          <xdr:colOff>6348</xdr:colOff>
          <xdr:row>15</xdr:row>
          <xdr:rowOff>12699</xdr:rowOff>
        </xdr:to>
        <xdr:pic>
          <xdr:nvPicPr>
            <xdr:cNvPr id="3" name="Image2">
              <a:extLst>
                <a:ext uri="{FF2B5EF4-FFF2-40B4-BE49-F238E27FC236}">
                  <a16:creationId xmlns:a16="http://schemas.microsoft.com/office/drawing/2014/main" id="{00000000-0008-0000-0800-000003000000}"/>
                </a:ext>
              </a:extLst>
            </xdr:cNvPr>
            <xdr:cNvPicPr preferRelativeResize="0">
              <a:picLocks noChangeArrowheads="1" noChangeShapeType="1"/>
              <a:extLst>
                <a:ext uri="{84589F7E-364E-4C9E-8A38-B11213B215E9}">
                  <a14:cameraTool cellRange="BILD" spid="_x0000_s911423"/>
                </a:ext>
              </a:extLst>
            </xdr:cNvPicPr>
          </xdr:nvPicPr>
          <xdr:blipFill>
            <a:blip xmlns:r="http://schemas.openxmlformats.org/officeDocument/2006/relationships" r:embed="rId1"/>
            <a:srcRect/>
            <a:stretch>
              <a:fillRect/>
            </a:stretch>
          </xdr:blipFill>
          <xdr:spPr bwMode="auto">
            <a:xfrm>
              <a:off x="5473383" y="748348"/>
              <a:ext cx="636585" cy="99409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7</xdr:col>
      <xdr:colOff>84107</xdr:colOff>
      <xdr:row>8</xdr:row>
      <xdr:rowOff>44432</xdr:rowOff>
    </xdr:from>
    <xdr:to>
      <xdr:col>10</xdr:col>
      <xdr:colOff>15862</xdr:colOff>
      <xdr:row>12</xdr:row>
      <xdr:rowOff>47626</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2092295" y="1298557"/>
          <a:ext cx="344505" cy="765194"/>
        </a:xfrm>
        <a:prstGeom prst="rect">
          <a:avLst/>
        </a:prstGeom>
        <a:noFill/>
        <a:ln w="9525">
          <a:noFill/>
          <a:miter lim="800000"/>
          <a:headEnd/>
          <a:tailEnd/>
        </a:ln>
      </xdr:spPr>
      <xdr:txBody>
        <a:bodyPr vertOverflow="clip" wrap="square" lIns="27432" tIns="27432" rIns="0" bIns="0" anchor="t" upright="1"/>
        <a:lstStyle/>
        <a:p>
          <a:pPr algn="ctr" rtl="0">
            <a:defRPr sz="1000"/>
          </a:pPr>
          <a:r>
            <a:rPr lang="de-DE" sz="900" b="1" i="0" u="none" strike="noStrike" baseline="0">
              <a:solidFill>
                <a:srgbClr val="000080"/>
              </a:solidFill>
              <a:latin typeface="Sylfaen"/>
            </a:rPr>
            <a:t>°C</a:t>
          </a:r>
        </a:p>
        <a:p>
          <a:pPr algn="ctr" rtl="0">
            <a:defRPr sz="1000"/>
          </a:pPr>
          <a:r>
            <a:rPr lang="de-DE" sz="900" b="1" i="0" u="none" strike="noStrike" baseline="0">
              <a:solidFill>
                <a:srgbClr val="993300"/>
              </a:solidFill>
              <a:latin typeface="Sylfaen"/>
            </a:rPr>
            <a:t>°P</a:t>
          </a:r>
        </a:p>
        <a:p>
          <a:pPr algn="ctr" rtl="0">
            <a:defRPr sz="1000"/>
          </a:pPr>
          <a:r>
            <a:rPr lang="de-DE" sz="900" b="1" i="0" u="none" strike="noStrike" baseline="0">
              <a:solidFill>
                <a:srgbClr val="008000"/>
              </a:solidFill>
              <a:latin typeface="Sylfaen"/>
            </a:rPr>
            <a:t>pH</a:t>
          </a:r>
        </a:p>
      </xdr:txBody>
    </xdr:sp>
    <xdr:clientData/>
  </xdr:twoCellAnchor>
  <xdr:twoCellAnchor>
    <xdr:from>
      <xdr:col>8</xdr:col>
      <xdr:colOff>28575</xdr:colOff>
      <xdr:row>7</xdr:row>
      <xdr:rowOff>28575</xdr:rowOff>
    </xdr:from>
    <xdr:to>
      <xdr:col>40</xdr:col>
      <xdr:colOff>47625</xdr:colOff>
      <xdr:row>39</xdr:row>
      <xdr:rowOff>247650</xdr:rowOff>
    </xdr:to>
    <xdr:graphicFrame macro="">
      <xdr:nvGraphicFramePr>
        <xdr:cNvPr id="19536" name="Chart 3">
          <a:extLst>
            <a:ext uri="{FF2B5EF4-FFF2-40B4-BE49-F238E27FC236}">
              <a16:creationId xmlns:a16="http://schemas.microsoft.com/office/drawing/2014/main" id="{00000000-0008-0000-0900-000050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76200</xdr:colOff>
      <xdr:row>13</xdr:row>
      <xdr:rowOff>19050</xdr:rowOff>
    </xdr:from>
    <xdr:to>
      <xdr:col>44</xdr:col>
      <xdr:colOff>19050</xdr:colOff>
      <xdr:row>40</xdr:row>
      <xdr:rowOff>190500</xdr:rowOff>
    </xdr:to>
    <xdr:graphicFrame macro="">
      <xdr:nvGraphicFramePr>
        <xdr:cNvPr id="24599" name="Chart 3">
          <a:extLst>
            <a:ext uri="{FF2B5EF4-FFF2-40B4-BE49-F238E27FC236}">
              <a16:creationId xmlns:a16="http://schemas.microsoft.com/office/drawing/2014/main" id="{00000000-0008-0000-0A00-000017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raumeister@bierbrauerei.net?subject=Fragen%20zum%20Brau-Journa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hobbybrauer.de/modules.php?name=eBoard&amp;file=viewthread&amp;tid=19052"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3.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zoll.de/DE/Service/Dienststellensuche/Startseite/dienststellensuche_node.html"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ctrlProp" Target="../ctrlProps/ctrlProp3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ctrlProp" Target="../ctrlProps/ctrlProp3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L37"/>
  <sheetViews>
    <sheetView showGridLines="0" showRowColHeaders="0" tabSelected="1" zoomScaleNormal="100" workbookViewId="0">
      <selection activeCell="B17" sqref="B17:D17"/>
    </sheetView>
  </sheetViews>
  <sheetFormatPr baseColWidth="10" defaultColWidth="11.5546875" defaultRowHeight="13.2"/>
  <cols>
    <col min="1" max="1" width="29" style="495" customWidth="1"/>
    <col min="2" max="2" width="7.5546875" style="495" customWidth="1"/>
    <col min="3" max="3" width="5" style="495" customWidth="1"/>
    <col min="4" max="4" width="27.44140625" style="495" customWidth="1"/>
    <col min="5" max="5" width="19.109375" style="495" customWidth="1"/>
    <col min="6" max="6" width="28.5546875" style="495" customWidth="1"/>
    <col min="7" max="7" width="12.44140625" style="495" bestFit="1" customWidth="1"/>
    <col min="8" max="16384" width="11.5546875" style="495"/>
  </cols>
  <sheetData>
    <row r="1" spans="1:11" ht="9" customHeight="1">
      <c r="A1" s="516"/>
      <c r="B1" s="513"/>
      <c r="C1" s="513"/>
      <c r="D1" s="513"/>
      <c r="E1" s="513"/>
      <c r="F1" s="513"/>
    </row>
    <row r="2" spans="1:11" ht="65.400000000000006">
      <c r="B2" s="862" t="s">
        <v>874</v>
      </c>
      <c r="C2" s="862"/>
      <c r="D2" s="862"/>
      <c r="E2" s="862"/>
      <c r="F2" s="862"/>
      <c r="G2" s="862"/>
    </row>
    <row r="3" spans="1:11">
      <c r="E3" s="516"/>
      <c r="F3" s="518"/>
      <c r="G3" s="517"/>
    </row>
    <row r="4" spans="1:11" ht="9" customHeight="1">
      <c r="B4" s="513"/>
      <c r="C4" s="513"/>
      <c r="D4" s="513"/>
      <c r="E4" s="513"/>
      <c r="F4" s="513"/>
    </row>
    <row r="5" spans="1:11" s="515" customFormat="1" ht="27.6" customHeight="1">
      <c r="B5" s="863" t="s">
        <v>1247</v>
      </c>
      <c r="C5" s="864"/>
      <c r="D5" s="865"/>
      <c r="E5" s="514"/>
      <c r="F5" s="863" t="s">
        <v>88</v>
      </c>
      <c r="G5" s="865"/>
    </row>
    <row r="6" spans="1:11" ht="9" customHeight="1">
      <c r="B6" s="513"/>
      <c r="C6" s="513"/>
      <c r="D6" s="513"/>
      <c r="E6" s="513"/>
      <c r="F6" s="513"/>
      <c r="G6" s="522"/>
    </row>
    <row r="7" spans="1:11" s="515" customFormat="1" ht="27.6" customHeight="1">
      <c r="B7" s="863" t="s">
        <v>157</v>
      </c>
      <c r="C7" s="864"/>
      <c r="D7" s="865"/>
      <c r="E7" s="514"/>
      <c r="F7" s="863" t="s">
        <v>100</v>
      </c>
      <c r="G7" s="865"/>
    </row>
    <row r="8" spans="1:11" ht="9" customHeight="1">
      <c r="B8" s="513"/>
      <c r="C8" s="513"/>
      <c r="D8" s="513"/>
      <c r="E8" s="513"/>
      <c r="F8" s="513"/>
      <c r="G8" s="522"/>
    </row>
    <row r="9" spans="1:11" s="515" customFormat="1" ht="27.6" customHeight="1">
      <c r="B9" s="863" t="s">
        <v>857</v>
      </c>
      <c r="C9" s="864"/>
      <c r="D9" s="865"/>
      <c r="E9" s="514"/>
      <c r="F9" s="863" t="s">
        <v>712</v>
      </c>
      <c r="G9" s="865"/>
    </row>
    <row r="10" spans="1:11" ht="9" customHeight="1">
      <c r="B10" s="513"/>
      <c r="C10" s="513"/>
      <c r="D10" s="513"/>
      <c r="E10" s="513"/>
      <c r="F10" s="513"/>
      <c r="G10" s="522"/>
    </row>
    <row r="11" spans="1:11" s="515" customFormat="1" ht="27.6" customHeight="1">
      <c r="B11" s="863" t="s">
        <v>226</v>
      </c>
      <c r="C11" s="864"/>
      <c r="D11" s="865"/>
      <c r="E11" s="514"/>
      <c r="F11" s="863" t="s">
        <v>858</v>
      </c>
      <c r="G11" s="865"/>
      <c r="K11" s="526"/>
    </row>
    <row r="12" spans="1:11" ht="9" customHeight="1">
      <c r="B12" s="513"/>
      <c r="C12" s="513"/>
      <c r="D12" s="513"/>
      <c r="E12" s="513"/>
      <c r="F12" s="513"/>
      <c r="G12" s="522"/>
    </row>
    <row r="13" spans="1:11" s="515" customFormat="1" ht="27.6" customHeight="1">
      <c r="B13" s="863" t="s">
        <v>860</v>
      </c>
      <c r="C13" s="864"/>
      <c r="D13" s="865"/>
      <c r="E13" s="514"/>
      <c r="F13" s="863" t="s">
        <v>859</v>
      </c>
      <c r="G13" s="865"/>
    </row>
    <row r="14" spans="1:11" ht="9" customHeight="1">
      <c r="B14" s="513"/>
      <c r="C14" s="513"/>
      <c r="D14" s="513"/>
      <c r="E14" s="513"/>
      <c r="F14" s="513"/>
    </row>
    <row r="15" spans="1:11" s="515" customFormat="1" ht="27.6" customHeight="1">
      <c r="B15" s="863" t="s">
        <v>861</v>
      </c>
      <c r="C15" s="864"/>
      <c r="D15" s="865"/>
      <c r="E15" s="514"/>
      <c r="F15" s="863" t="s">
        <v>868</v>
      </c>
      <c r="G15" s="865"/>
    </row>
    <row r="16" spans="1:11" ht="18" customHeight="1">
      <c r="B16" s="513"/>
      <c r="C16" s="513"/>
      <c r="D16" s="513"/>
      <c r="E16" s="513"/>
      <c r="F16" s="513"/>
    </row>
    <row r="17" spans="2:12" ht="15.6">
      <c r="B17" s="867" t="s">
        <v>862</v>
      </c>
      <c r="C17" s="868"/>
      <c r="D17" s="869"/>
      <c r="E17" s="523"/>
      <c r="F17" s="867" t="s">
        <v>863</v>
      </c>
      <c r="G17" s="869"/>
    </row>
    <row r="18" spans="2:12" ht="9" customHeight="1">
      <c r="B18" s="513"/>
      <c r="C18" s="513"/>
      <c r="D18" s="513"/>
      <c r="E18" s="513"/>
      <c r="F18" s="513"/>
    </row>
    <row r="19" spans="2:12">
      <c r="B19" s="598" t="s">
        <v>1235</v>
      </c>
      <c r="C19" s="637" t="s">
        <v>866</v>
      </c>
      <c r="D19" s="636"/>
      <c r="E19" s="636"/>
      <c r="F19" s="638"/>
      <c r="G19" s="638"/>
      <c r="H19" s="515"/>
      <c r="I19" s="515"/>
      <c r="J19" s="515"/>
      <c r="K19" s="515"/>
    </row>
    <row r="20" spans="2:12" ht="4.95" customHeight="1">
      <c r="B20" s="636"/>
      <c r="C20" s="636"/>
      <c r="D20" s="636"/>
      <c r="E20" s="636"/>
      <c r="F20" s="638"/>
      <c r="G20" s="638"/>
      <c r="H20" s="515"/>
      <c r="I20" s="515"/>
      <c r="J20" s="515"/>
      <c r="K20" s="515"/>
    </row>
    <row r="21" spans="2:12">
      <c r="B21" s="676" t="s">
        <v>869</v>
      </c>
      <c r="C21" s="637" t="s">
        <v>867</v>
      </c>
      <c r="D21" s="636"/>
      <c r="E21" s="636"/>
      <c r="F21" s="638"/>
      <c r="G21" s="638"/>
      <c r="H21" s="515"/>
      <c r="I21" s="515"/>
      <c r="J21" s="515"/>
      <c r="K21" s="515"/>
    </row>
    <row r="22" spans="2:12" ht="4.95" customHeight="1">
      <c r="B22" s="636"/>
      <c r="C22" s="636"/>
      <c r="D22" s="636"/>
      <c r="E22" s="636"/>
      <c r="F22" s="638"/>
      <c r="G22" s="638"/>
      <c r="H22" s="515"/>
      <c r="I22" s="515"/>
      <c r="J22" s="515"/>
      <c r="K22" s="515"/>
    </row>
    <row r="23" spans="2:12">
      <c r="B23" s="635" t="s">
        <v>1236</v>
      </c>
      <c r="C23" s="637" t="s">
        <v>870</v>
      </c>
      <c r="D23" s="636"/>
      <c r="E23" s="636"/>
      <c r="F23" s="638"/>
      <c r="G23" s="638"/>
      <c r="H23" s="515"/>
      <c r="I23" s="515"/>
      <c r="J23" s="515"/>
      <c r="K23" s="515"/>
    </row>
    <row r="24" spans="2:12" ht="4.95" customHeight="1">
      <c r="B24" s="636"/>
      <c r="C24" s="636"/>
      <c r="D24" s="636"/>
      <c r="E24" s="636"/>
      <c r="F24" s="636"/>
      <c r="G24" s="638"/>
      <c r="H24" s="515"/>
      <c r="I24" s="515"/>
      <c r="J24" s="515"/>
      <c r="K24" s="515"/>
      <c r="L24" s="515"/>
    </row>
    <row r="25" spans="2:12" ht="12.6" customHeight="1">
      <c r="B25" s="528" t="s">
        <v>21</v>
      </c>
      <c r="C25" s="637" t="s">
        <v>871</v>
      </c>
      <c r="D25" s="636"/>
      <c r="E25" s="636"/>
      <c r="F25" s="636"/>
      <c r="G25" s="638"/>
    </row>
    <row r="26" spans="2:12" ht="9" customHeight="1">
      <c r="B26" s="513"/>
      <c r="C26" s="513"/>
      <c r="D26" s="513"/>
      <c r="E26" s="513"/>
      <c r="F26" s="513"/>
    </row>
    <row r="27" spans="2:12" ht="13.2" customHeight="1">
      <c r="B27" s="866" t="s">
        <v>944</v>
      </c>
      <c r="C27" s="866"/>
      <c r="D27" s="866"/>
      <c r="E27" s="866"/>
      <c r="F27" s="866"/>
      <c r="G27" s="866"/>
    </row>
    <row r="28" spans="2:12" ht="13.2" customHeight="1">
      <c r="B28" s="866"/>
      <c r="C28" s="866"/>
      <c r="D28" s="866"/>
      <c r="E28" s="866"/>
      <c r="F28" s="866"/>
      <c r="G28" s="866"/>
    </row>
    <row r="29" spans="2:12" ht="9" customHeight="1">
      <c r="B29" s="513"/>
      <c r="C29" s="513"/>
      <c r="D29" s="513"/>
      <c r="E29" s="513"/>
      <c r="F29" s="513"/>
    </row>
    <row r="30" spans="2:12" ht="13.2" customHeight="1">
      <c r="B30" s="639" t="s">
        <v>941</v>
      </c>
      <c r="C30" s="640"/>
      <c r="D30" s="640"/>
      <c r="E30" s="640"/>
      <c r="F30" s="640"/>
      <c r="G30" s="640"/>
      <c r="H30" s="215"/>
    </row>
    <row r="31" spans="2:12" ht="13.2" customHeight="1">
      <c r="B31" s="639" t="s">
        <v>942</v>
      </c>
      <c r="C31" s="640"/>
      <c r="D31" s="640"/>
      <c r="E31" s="640"/>
      <c r="F31" s="641" t="s">
        <v>263</v>
      </c>
      <c r="G31" s="640"/>
      <c r="H31" s="215"/>
    </row>
    <row r="32" spans="2:12" ht="13.2" customHeight="1">
      <c r="B32" s="639"/>
      <c r="C32" s="640"/>
      <c r="D32" s="640"/>
      <c r="E32" s="640"/>
      <c r="F32" s="642"/>
      <c r="G32" s="640"/>
      <c r="H32" s="215"/>
    </row>
    <row r="33" spans="2:8">
      <c r="B33" s="643" t="s">
        <v>831</v>
      </c>
      <c r="C33" s="637"/>
      <c r="D33" s="637"/>
      <c r="E33" s="637"/>
      <c r="F33" s="644" t="s">
        <v>943</v>
      </c>
      <c r="G33" s="645">
        <v>43590</v>
      </c>
      <c r="H33" s="215"/>
    </row>
    <row r="37" spans="2:8">
      <c r="F37" s="516"/>
    </row>
  </sheetData>
  <sheetProtection algorithmName="SHA-512" hashValue="eqQkHXEx79rklLgpN1ccAG7r0F1dwei7hdXZd4akpmW9y8Fs4ctGJGcwXan1a+GChDR0fxw4DSyCp+1BGKqoUA==" saltValue="SzoQoxTDuFYTqUg9aBufqA==" spinCount="100000" sheet="1" selectLockedCells="1"/>
  <mergeCells count="16">
    <mergeCell ref="B2:G2"/>
    <mergeCell ref="B11:D11"/>
    <mergeCell ref="B13:D13"/>
    <mergeCell ref="B15:D15"/>
    <mergeCell ref="B27:G28"/>
    <mergeCell ref="B5:D5"/>
    <mergeCell ref="B7:D7"/>
    <mergeCell ref="B9:D9"/>
    <mergeCell ref="B17:D17"/>
    <mergeCell ref="F17:G17"/>
    <mergeCell ref="F5:G5"/>
    <mergeCell ref="F7:G7"/>
    <mergeCell ref="F9:G9"/>
    <mergeCell ref="F11:G11"/>
    <mergeCell ref="F13:G13"/>
    <mergeCell ref="F15:G15"/>
  </mergeCells>
  <hyperlinks>
    <hyperlink ref="B5" location="'1_vorbereitung'!A1" display="1. Reiter: Vorbereitung" xr:uid="{00000000-0004-0000-0000-000004000000}"/>
    <hyperlink ref="F5" location="'6_lagerbericht'!A1" display="7. Reiter: Lagerbericht" xr:uid="{00000000-0004-0000-0000-000006000000}"/>
    <hyperlink ref="B5:D5" location="rechenfibel!L6" display="Rechenfibel" xr:uid="{00000000-0004-0000-0000-00000B000000}"/>
    <hyperlink ref="F5:G5" location="'5_gaerdiagramm'!AC7" display="Gärdiagramm" xr:uid="{00000000-0004-0000-0000-000011000000}"/>
    <hyperlink ref="B17" location="daten!A1" display="Reiter: Daten" xr:uid="{00000000-0004-0000-0000-000015000000}"/>
    <hyperlink ref="F17" location="historie!A1" display="Historie" xr:uid="{00000000-0004-0000-0000-000016000000}"/>
    <hyperlink ref="B17:D17" location="historie!A1" display="Historie" xr:uid="{00000000-0004-0000-0000-000017000000}"/>
    <hyperlink ref="F17:G17" location="daten!A3" display="Daten" xr:uid="{00000000-0004-0000-0000-000018000000}"/>
    <hyperlink ref="F31" r:id="rId1" xr:uid="{00000000-0004-0000-0000-000019000000}"/>
    <hyperlink ref="F15" location="'10_zapfschild'!A1" display="11. Reiter: Zapfschild" xr:uid="{57F2869E-CA2A-4B06-97CB-133C4B5F830B}"/>
    <hyperlink ref="F15:G15" location="'10_zapfschild'!Q7" display="Bauchetikett" xr:uid="{6749B13B-2910-4831-A232-F53CD1E6D2BB}"/>
    <hyperlink ref="F13" location="'9_banderole'!A1" display="10. Reiter: Banderole" xr:uid="{897EE5FB-7FF9-49DD-AC28-942B3392B814}"/>
    <hyperlink ref="F13:G13" location="'9_banderole'!S6" display="Banderole" xr:uid="{03104CDE-BA71-4312-BD5C-425C025ED004}"/>
    <hyperlink ref="F11" location="'8_untappd'!A1" display="9. Reiter: Untappd" xr:uid="{09A2733B-0E63-4FAE-9705-2469E203C646}"/>
    <hyperlink ref="F9" location="'7_verkostungsbogen'!A1" display="8. Reiter: Verkostungsbogen" xr:uid="{C73D54F2-7734-4C2D-BD67-655ACDFB14F0}"/>
    <hyperlink ref="F9:G9" location="'7_verkostungsbogen'!S13" display="Verkostungsbogen" xr:uid="{BA663997-6752-440D-A89C-CAC858A0EE47}"/>
    <hyperlink ref="F7" location="'6_lagerbericht'!A1" display="7. Reiter: Lagerbericht" xr:uid="{329C769A-8A3D-4728-ABCA-084BE4D6BC27}"/>
    <hyperlink ref="F7:G7" location="'6_lagerbericht'!G8" display="Lagerbericht" xr:uid="{301F7E1B-0A81-44E9-9439-54CCBD078AC6}"/>
    <hyperlink ref="B15" location="'4b_sud-journal (hand-out)'!A1" display="5. Reiter: Sudjournal - Handout -" xr:uid="{06999533-B4C6-4D87-B433-94CF83905CFB}"/>
    <hyperlink ref="B15:D15" location="'4a_sud-journal (handout)'!Q27" display="Sudjournal - Handout -" xr:uid="{97BE2410-5FFC-473B-8F14-2EF65799C5E4}"/>
    <hyperlink ref="B13" location="'4a_sud-journal'!A1" display="4. Reiter: Sudjournal" xr:uid="{8B290E82-2179-42B2-B767-BF700E224B03}"/>
    <hyperlink ref="B13:D13" location="'4a_sud-journal'!O11" display="Sudjournal" xr:uid="{1002CC78-08AD-4C91-95CA-584AAB8EA880}"/>
    <hyperlink ref="B11" location="'3_rezeptkarte'!A1" display="3. Reiter: Rezeptkarte" xr:uid="{926C5DC6-CA8A-489A-90BD-977AA47C35C7}"/>
    <hyperlink ref="B11:D11" location="'3_rezeptkarte'!D6" display="Rezeptkarte" xr:uid="{15747699-6920-4CA1-88B5-2D4544581A1C}"/>
    <hyperlink ref="B9" location="'2_brief_hza'!A1" display="2. Reiter: Brief an das Hauptzollamt" xr:uid="{84A35DD8-F297-4886-9EE6-C3160289CD9F}"/>
    <hyperlink ref="B9:D9" location="'2_brief_hza'!AM4" display="Brief an das Hauptzollamt" xr:uid="{9DEE0B48-C507-4DD1-8E9B-85B919A004D7}"/>
    <hyperlink ref="B7" location="'1_vorbereitung'!A1" display="1. Reiter: Vorbereitung" xr:uid="{E8E7D46F-D347-46D8-90BE-65EBFEA1CD4D}"/>
    <hyperlink ref="B7:D7" location="'1_vorbereitung'!F6" display="Vorbereitung" xr:uid="{F241FA85-B7E7-4ABC-83E9-7BD796632F80}"/>
  </hyperlinks>
  <pageMargins left="0.7" right="0.7" top="0.78740157499999996" bottom="0.78740157499999996"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
  <dimension ref="B1:AX41"/>
  <sheetViews>
    <sheetView showGridLines="0" showRowColHeaders="0" showRuler="0" showWhiteSpace="0" zoomScale="120" zoomScaleNormal="120" zoomScaleSheetLayoutView="120" zoomScalePageLayoutView="120" workbookViewId="0">
      <pane ySplit="4" topLeftCell="A5" activePane="bottomLeft" state="frozen"/>
      <selection pane="bottomLeft" activeCell="AS2" sqref="AS2:AS3"/>
    </sheetView>
  </sheetViews>
  <sheetFormatPr baseColWidth="10" defaultColWidth="2.88671875" defaultRowHeight="13.8"/>
  <cols>
    <col min="1" max="1" width="1.109375" style="2" customWidth="1"/>
    <col min="2" max="2" width="0.88671875" style="2" customWidth="1"/>
    <col min="3" max="3" width="5.44140625" style="2" customWidth="1"/>
    <col min="4" max="4" width="6" style="2" customWidth="1"/>
    <col min="5" max="5" width="5.5546875" style="2" bestFit="1" customWidth="1"/>
    <col min="6" max="6" width="5.5546875" style="2" customWidth="1"/>
    <col min="7" max="7" width="5.6640625" style="2" customWidth="1"/>
    <col min="8" max="9" width="1.109375" style="2" customWidth="1"/>
    <col min="10" max="10" width="3" style="2" customWidth="1"/>
    <col min="11" max="11" width="3.109375" style="2" customWidth="1"/>
    <col min="12" max="12" width="4" style="2" customWidth="1"/>
    <col min="13" max="13" width="2" style="2" customWidth="1"/>
    <col min="14" max="21" width="3.109375" style="2" customWidth="1"/>
    <col min="22" max="22" width="2.33203125" style="2" customWidth="1"/>
    <col min="23" max="23" width="3.6640625" style="2" customWidth="1"/>
    <col min="24" max="25" width="3.109375" style="2" customWidth="1"/>
    <col min="26" max="26" width="3.88671875" style="2" customWidth="1"/>
    <col min="27" max="27" width="3.109375" style="2" customWidth="1"/>
    <col min="28" max="28" width="2.6640625" style="2" customWidth="1"/>
    <col min="29" max="29" width="3.109375" style="2" customWidth="1"/>
    <col min="30" max="30" width="4.44140625" style="2" customWidth="1"/>
    <col min="31" max="31" width="3.5546875" style="2" customWidth="1"/>
    <col min="32" max="33" width="3.109375" style="2" customWidth="1"/>
    <col min="34" max="34" width="3.44140625" style="2" customWidth="1"/>
    <col min="35" max="36" width="3.109375" style="2" customWidth="1"/>
    <col min="37" max="37" width="4.44140625" style="2" customWidth="1"/>
    <col min="38" max="40" width="3.109375" style="2" customWidth="1"/>
    <col min="41" max="41" width="0.88671875" style="2" customWidth="1"/>
    <col min="42" max="42" width="2.88671875" style="2"/>
    <col min="43" max="45" width="3.109375" style="2" customWidth="1"/>
    <col min="46" max="49" width="5.44140625" style="2" hidden="1" customWidth="1"/>
    <col min="50" max="50" width="8.109375" style="2" bestFit="1" customWidth="1"/>
    <col min="51" max="51" width="4" style="2" bestFit="1" customWidth="1"/>
    <col min="52" max="66" width="4.33203125" style="2" bestFit="1" customWidth="1"/>
    <col min="67" max="16384" width="2.88671875" style="2"/>
  </cols>
  <sheetData>
    <row r="1" spans="2:50" ht="6" customHeight="1" thickBot="1">
      <c r="AT1" s="2" t="s">
        <v>53</v>
      </c>
    </row>
    <row r="2" spans="2:50" ht="15" customHeight="1">
      <c r="B2" s="136"/>
      <c r="C2" s="133"/>
      <c r="D2" s="146"/>
      <c r="E2" s="133"/>
      <c r="F2" s="133"/>
      <c r="G2" s="133"/>
      <c r="H2" s="133"/>
      <c r="I2" s="133"/>
      <c r="J2" s="139"/>
      <c r="K2" s="1024" t="s">
        <v>88</v>
      </c>
      <c r="L2" s="1025"/>
      <c r="M2" s="1025"/>
      <c r="N2" s="1025"/>
      <c r="O2" s="1025"/>
      <c r="P2" s="1025"/>
      <c r="Q2" s="1025"/>
      <c r="R2" s="1025"/>
      <c r="S2" s="1025"/>
      <c r="T2" s="1025"/>
      <c r="U2" s="1025"/>
      <c r="V2" s="1025"/>
      <c r="W2" s="1025"/>
      <c r="X2" s="1025"/>
      <c r="Y2" s="1025"/>
      <c r="Z2" s="1025"/>
      <c r="AA2" s="1025"/>
      <c r="AB2" s="1025"/>
      <c r="AC2" s="1025"/>
      <c r="AD2" s="1025"/>
      <c r="AE2" s="5"/>
      <c r="AF2" s="265"/>
      <c r="AG2" s="5"/>
      <c r="AH2" s="5"/>
      <c r="AI2" s="5"/>
      <c r="AJ2" s="5"/>
      <c r="AK2" s="860" t="s">
        <v>15</v>
      </c>
      <c r="AL2" s="1022">
        <f>rechenfibel!AD2</f>
        <v>43590</v>
      </c>
      <c r="AM2" s="1079"/>
      <c r="AN2" s="1079"/>
      <c r="AO2" s="1080"/>
      <c r="AQ2" s="877" t="s">
        <v>246</v>
      </c>
      <c r="AR2" s="439" t="s">
        <v>832</v>
      </c>
      <c r="AS2" s="879" t="s">
        <v>242</v>
      </c>
    </row>
    <row r="3" spans="2:50" ht="15" customHeight="1" thickBot="1">
      <c r="B3" s="137"/>
      <c r="C3" s="134"/>
      <c r="D3" s="420"/>
      <c r="E3" s="420"/>
      <c r="F3" s="134"/>
      <c r="G3" s="134"/>
      <c r="H3" s="134"/>
      <c r="I3" s="134"/>
      <c r="J3" s="140"/>
      <c r="K3" s="1027"/>
      <c r="L3" s="1028"/>
      <c r="M3" s="1028"/>
      <c r="N3" s="1028"/>
      <c r="O3" s="1028"/>
      <c r="P3" s="1028"/>
      <c r="Q3" s="1028"/>
      <c r="R3" s="1028"/>
      <c r="S3" s="1028"/>
      <c r="T3" s="1028"/>
      <c r="U3" s="1028"/>
      <c r="V3" s="1028"/>
      <c r="W3" s="1028"/>
      <c r="X3" s="1028"/>
      <c r="Y3" s="1028"/>
      <c r="Z3" s="1028"/>
      <c r="AA3" s="1028"/>
      <c r="AB3" s="1028"/>
      <c r="AC3" s="1028"/>
      <c r="AD3" s="1028"/>
      <c r="AE3" s="13"/>
      <c r="AF3" s="138"/>
      <c r="AG3" s="13"/>
      <c r="AH3" s="13"/>
      <c r="AI3" s="13"/>
      <c r="AJ3" s="13"/>
      <c r="AK3" s="14" t="s">
        <v>22</v>
      </c>
      <c r="AL3" s="1077">
        <f>rechenfibel!AD3</f>
        <v>43556</v>
      </c>
      <c r="AM3" s="1077"/>
      <c r="AN3" s="1077"/>
      <c r="AO3" s="1078"/>
      <c r="AQ3" s="878"/>
      <c r="AR3" s="441"/>
      <c r="AS3" s="880"/>
    </row>
    <row r="4" spans="2:50" ht="4.5" customHeight="1" thickBot="1"/>
    <row r="5" spans="2:50" ht="2.25" customHeight="1">
      <c r="B5" s="4"/>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6"/>
    </row>
    <row r="6" spans="2:50" ht="15" customHeight="1">
      <c r="B6" s="10"/>
      <c r="C6" s="530" t="s">
        <v>21</v>
      </c>
      <c r="D6" s="3" t="s">
        <v>89</v>
      </c>
      <c r="E6" s="989" t="str">
        <f>IF(ISBLANK('1_vorbereitung'!M6),"",'1_vorbereitung'!M6)</f>
        <v/>
      </c>
      <c r="F6" s="989"/>
      <c r="G6" s="18" t="s">
        <v>80</v>
      </c>
      <c r="H6" s="989" t="str">
        <f>IF(ISBLANK('3_rezeptkarte'!T74),"",'3_rezeptkarte'!T74)</f>
        <v/>
      </c>
      <c r="I6" s="989"/>
      <c r="J6" s="989"/>
      <c r="K6" s="989"/>
      <c r="L6" s="989"/>
      <c r="M6" s="989"/>
      <c r="N6" s="989"/>
      <c r="O6" s="989"/>
      <c r="P6" s="989"/>
      <c r="Q6" s="989"/>
      <c r="R6" s="989"/>
      <c r="S6" s="989"/>
      <c r="U6" s="3" t="s">
        <v>96</v>
      </c>
      <c r="V6" s="1019" t="str">
        <f>IF(ISERROR(VLOOKUP(H6,daten!J2:M111,2,FALSE)),"",VLOOKUP(H6,daten!J2:M111,2,FALSE))</f>
        <v/>
      </c>
      <c r="W6" s="1019"/>
      <c r="X6" s="2" t="s">
        <v>5</v>
      </c>
      <c r="AA6" s="3"/>
      <c r="AB6" s="3" t="s">
        <v>91</v>
      </c>
      <c r="AC6" s="1082" t="str">
        <f>IF(ISBLANK('4a_sud-journal'!U78),"",'4a_sud-journal'!U78)</f>
        <v/>
      </c>
      <c r="AD6" s="1082"/>
      <c r="AE6" s="3" t="s">
        <v>8</v>
      </c>
      <c r="AF6" s="1019" t="str">
        <f>IF(ISBLANK('4a_sud-journal'!AD78),"",'4a_sud-journal'!AD78)</f>
        <v/>
      </c>
      <c r="AG6" s="1019"/>
      <c r="AH6" s="24" t="s">
        <v>836</v>
      </c>
      <c r="AI6" s="135"/>
      <c r="AJ6" s="18"/>
      <c r="AK6" s="18"/>
      <c r="AL6" s="1019" t="str">
        <f>IF(ISBLANK('4a_sud-journal'!V79),"",'4a_sud-journal'!V79)</f>
        <v/>
      </c>
      <c r="AM6" s="1019"/>
      <c r="AN6" s="564" t="s">
        <v>39</v>
      </c>
      <c r="AO6" s="11"/>
      <c r="AT6" s="254"/>
      <c r="AU6" s="255"/>
      <c r="AV6" s="255"/>
      <c r="AW6" s="256"/>
    </row>
    <row r="7" spans="2:50" ht="15" customHeight="1">
      <c r="B7" s="10"/>
      <c r="C7" s="989" t="str">
        <f>IF(ISBLANK('3_rezeptkarte'!C6),"",'3_rezeptkarte'!C6)</f>
        <v/>
      </c>
      <c r="D7" s="989"/>
      <c r="E7" s="989"/>
      <c r="F7" s="989"/>
      <c r="H7" s="17"/>
      <c r="I7" s="17"/>
      <c r="N7" s="19" t="s">
        <v>221</v>
      </c>
      <c r="O7" s="1019" t="str">
        <f>IF(ISERROR(AL6/100*(100-V6)),"",AL6/100*(100-V6))</f>
        <v/>
      </c>
      <c r="P7" s="1019"/>
      <c r="Q7" s="2" t="s">
        <v>39</v>
      </c>
      <c r="U7" s="3" t="s">
        <v>654</v>
      </c>
      <c r="V7" s="1019" t="str">
        <f>IF(ISERROR(VLOOKUP(H6,daten!J2:M111,4,FALSE)),"",VLOOKUP(H6,daten!J2:M111,4,FALSE))</f>
        <v/>
      </c>
      <c r="W7" s="1019"/>
      <c r="X7" s="2" t="s">
        <v>5</v>
      </c>
      <c r="Z7" s="3"/>
      <c r="AA7" s="3"/>
      <c r="AB7" s="3" t="s">
        <v>92</v>
      </c>
      <c r="AC7" s="1081"/>
      <c r="AD7" s="1081"/>
      <c r="AE7" s="3" t="s">
        <v>8</v>
      </c>
      <c r="AF7" s="892"/>
      <c r="AG7" s="892"/>
      <c r="AH7" s="24" t="s">
        <v>835</v>
      </c>
      <c r="AI7" s="24"/>
      <c r="AJ7" s="135"/>
      <c r="AK7" s="18"/>
      <c r="AL7" s="892"/>
      <c r="AM7" s="892"/>
      <c r="AN7" s="564" t="s">
        <v>39</v>
      </c>
      <c r="AO7" s="11"/>
      <c r="AS7" s="17"/>
      <c r="AT7" s="257"/>
      <c r="AU7" s="258"/>
      <c r="AV7" s="258"/>
      <c r="AW7" s="259"/>
    </row>
    <row r="8" spans="2:50" s="17" customFormat="1" ht="2.25" customHeight="1">
      <c r="B8" s="117"/>
      <c r="C8" s="18"/>
      <c r="D8" s="18"/>
      <c r="E8" s="142"/>
      <c r="F8" s="142"/>
      <c r="G8" s="116"/>
      <c r="H8" s="116"/>
      <c r="I8" s="116"/>
      <c r="J8" s="19"/>
      <c r="K8" s="143"/>
      <c r="L8" s="143"/>
      <c r="M8" s="143"/>
      <c r="P8" s="18"/>
      <c r="Q8" s="118"/>
      <c r="R8" s="118"/>
      <c r="S8" s="118"/>
      <c r="U8" s="18"/>
      <c r="V8" s="18"/>
      <c r="W8" s="18"/>
      <c r="X8" s="18"/>
      <c r="Y8" s="144"/>
      <c r="Z8" s="144"/>
      <c r="AA8" s="144"/>
      <c r="AC8" s="18"/>
      <c r="AD8" s="126"/>
      <c r="AE8" s="126"/>
      <c r="AF8" s="126"/>
      <c r="AI8" s="18"/>
      <c r="AK8" s="18"/>
      <c r="AL8" s="143"/>
      <c r="AM8" s="143"/>
      <c r="AN8" s="143"/>
      <c r="AO8" s="23"/>
      <c r="AT8" s="257"/>
      <c r="AU8" s="258"/>
      <c r="AV8" s="258"/>
      <c r="AW8" s="259"/>
    </row>
    <row r="9" spans="2:50" s="17" customFormat="1" ht="15" customHeight="1">
      <c r="B9" s="117"/>
      <c r="C9" s="469"/>
      <c r="D9" s="476" t="s">
        <v>23</v>
      </c>
      <c r="E9" s="471" t="s">
        <v>99</v>
      </c>
      <c r="F9" s="477" t="s">
        <v>216</v>
      </c>
      <c r="G9" s="478" t="s">
        <v>14</v>
      </c>
      <c r="H9" s="479"/>
      <c r="I9" s="116"/>
      <c r="J9" s="19"/>
      <c r="K9" s="143"/>
      <c r="L9" s="143"/>
      <c r="M9" s="143"/>
      <c r="P9" s="18"/>
      <c r="Q9" s="118"/>
      <c r="R9" s="118"/>
      <c r="S9" s="118"/>
      <c r="U9" s="18"/>
      <c r="V9" s="18"/>
      <c r="W9" s="18"/>
      <c r="X9" s="18"/>
      <c r="Y9" s="144"/>
      <c r="Z9" s="144"/>
      <c r="AA9" s="144"/>
      <c r="AC9" s="18"/>
      <c r="AD9" s="126"/>
      <c r="AE9" s="126"/>
      <c r="AF9" s="126"/>
      <c r="AI9" s="18"/>
      <c r="AK9" s="18"/>
      <c r="AL9" s="143"/>
      <c r="AM9" s="143"/>
      <c r="AN9" s="143"/>
      <c r="AO9" s="23"/>
      <c r="AT9" s="257"/>
      <c r="AU9" s="258"/>
      <c r="AV9" s="258"/>
      <c r="AW9" s="259"/>
    </row>
    <row r="10" spans="2:50" s="17" customFormat="1" ht="15" customHeight="1">
      <c r="B10" s="117"/>
      <c r="C10" s="480" t="s">
        <v>1340</v>
      </c>
      <c r="D10" s="699" t="str">
        <f>IF(ISBLANK('4a_sud-journal'!U78),"",$AC$6)</f>
        <v/>
      </c>
      <c r="E10" s="700"/>
      <c r="F10" s="846" t="str">
        <f>IF(ISBLANK('4a_sud-journal'!U78),"",AL6)</f>
        <v/>
      </c>
      <c r="G10" s="702"/>
      <c r="H10" s="482"/>
      <c r="I10" s="116"/>
      <c r="J10" s="19"/>
      <c r="K10" s="143"/>
      <c r="L10" s="143"/>
      <c r="M10" s="143"/>
      <c r="P10" s="18"/>
      <c r="Q10" s="118"/>
      <c r="R10" s="118"/>
      <c r="S10" s="118"/>
      <c r="U10" s="18"/>
      <c r="V10" s="18"/>
      <c r="W10" s="18"/>
      <c r="X10" s="18"/>
      <c r="Y10" s="144"/>
      <c r="Z10" s="144"/>
      <c r="AA10" s="144"/>
      <c r="AC10" s="18"/>
      <c r="AD10" s="126"/>
      <c r="AE10" s="126"/>
      <c r="AF10" s="126"/>
      <c r="AI10" s="18"/>
      <c r="AK10" s="18"/>
      <c r="AL10" s="143"/>
      <c r="AM10" s="143"/>
      <c r="AN10" s="143"/>
      <c r="AO10" s="23"/>
      <c r="AT10" s="257"/>
      <c r="AU10" s="258"/>
      <c r="AV10" s="258"/>
      <c r="AW10" s="259"/>
    </row>
    <row r="11" spans="2:50" s="17" customFormat="1" ht="15" customHeight="1">
      <c r="B11" s="117"/>
      <c r="C11" s="480" t="s">
        <v>110</v>
      </c>
      <c r="D11" s="699" t="str">
        <f>IF(ISBLANK('4a_sud-journal'!U78),"",$AC$6+1)</f>
        <v/>
      </c>
      <c r="E11" s="700"/>
      <c r="F11" s="847"/>
      <c r="G11" s="702"/>
      <c r="H11" s="482"/>
      <c r="I11" s="116"/>
      <c r="J11" s="19"/>
      <c r="K11" s="143"/>
      <c r="L11" s="143"/>
      <c r="M11" s="143"/>
      <c r="P11" s="18"/>
      <c r="Q11" s="118"/>
      <c r="R11" s="118"/>
      <c r="S11" s="118"/>
      <c r="U11" s="18"/>
      <c r="V11" s="18"/>
      <c r="W11" s="18"/>
      <c r="X11" s="18"/>
      <c r="Y11" s="144"/>
      <c r="Z11" s="144"/>
      <c r="AA11" s="144"/>
      <c r="AC11" s="18"/>
      <c r="AD11" s="126"/>
      <c r="AE11" s="126"/>
      <c r="AF11" s="126"/>
      <c r="AI11" s="18"/>
      <c r="AK11" s="18"/>
      <c r="AL11" s="143"/>
      <c r="AM11" s="143"/>
      <c r="AN11" s="143"/>
      <c r="AO11" s="23"/>
      <c r="AT11" s="257"/>
      <c r="AU11" s="258"/>
      <c r="AV11" s="258"/>
      <c r="AW11" s="259"/>
    </row>
    <row r="12" spans="2:50" s="17" customFormat="1" ht="15" customHeight="1">
      <c r="B12" s="117"/>
      <c r="C12" s="480" t="s">
        <v>151</v>
      </c>
      <c r="D12" s="699" t="str">
        <f>IF(ISBLANK('4a_sud-journal'!U78),"",$AC$6+2)</f>
        <v/>
      </c>
      <c r="E12" s="700"/>
      <c r="F12" s="701"/>
      <c r="G12" s="848"/>
      <c r="H12" s="482"/>
      <c r="I12" s="116"/>
      <c r="J12" s="19"/>
      <c r="K12" s="143"/>
      <c r="L12" s="143"/>
      <c r="M12" s="143"/>
      <c r="P12" s="18"/>
      <c r="Q12" s="118"/>
      <c r="R12" s="118"/>
      <c r="S12" s="118"/>
      <c r="U12" s="18"/>
      <c r="V12" s="18"/>
      <c r="W12" s="18"/>
      <c r="X12" s="18"/>
      <c r="Y12" s="144"/>
      <c r="Z12" s="144"/>
      <c r="AA12" s="144"/>
      <c r="AC12" s="18"/>
      <c r="AD12" s="126"/>
      <c r="AE12" s="126"/>
      <c r="AF12" s="126"/>
      <c r="AI12" s="18"/>
      <c r="AK12" s="18"/>
      <c r="AL12" s="143"/>
      <c r="AM12" s="143"/>
      <c r="AN12" s="143"/>
      <c r="AO12" s="23"/>
      <c r="AQ12" s="3"/>
      <c r="AT12" s="257"/>
      <c r="AU12" s="258"/>
      <c r="AV12" s="258"/>
      <c r="AW12" s="259"/>
    </row>
    <row r="13" spans="2:50" s="17" customFormat="1" ht="15" customHeight="1">
      <c r="B13" s="117"/>
      <c r="C13" s="480" t="s">
        <v>111</v>
      </c>
      <c r="D13" s="699" t="str">
        <f>IF(ISBLANK('4a_sud-journal'!U78),"",$AC$6+3)</f>
        <v/>
      </c>
      <c r="E13" s="700"/>
      <c r="F13" s="701"/>
      <c r="G13" s="702"/>
      <c r="H13" s="482"/>
      <c r="I13" s="116"/>
      <c r="J13" s="19"/>
      <c r="K13" s="143"/>
      <c r="L13" s="143"/>
      <c r="M13" s="143"/>
      <c r="P13" s="18"/>
      <c r="Q13" s="118"/>
      <c r="R13" s="118"/>
      <c r="S13" s="118"/>
      <c r="U13" s="18"/>
      <c r="V13" s="18"/>
      <c r="W13" s="18"/>
      <c r="X13" s="18"/>
      <c r="Y13" s="144"/>
      <c r="Z13" s="144"/>
      <c r="AA13" s="144"/>
      <c r="AC13" s="18"/>
      <c r="AD13" s="126"/>
      <c r="AE13" s="126"/>
      <c r="AF13" s="126"/>
      <c r="AI13" s="18"/>
      <c r="AK13" s="18"/>
      <c r="AL13" s="143"/>
      <c r="AM13" s="143"/>
      <c r="AN13" s="143"/>
      <c r="AO13" s="23"/>
      <c r="AQ13" s="267"/>
      <c r="AT13" s="257"/>
      <c r="AU13" s="258"/>
      <c r="AV13" s="258"/>
      <c r="AW13" s="259"/>
    </row>
    <row r="14" spans="2:50" s="17" customFormat="1" ht="15" customHeight="1">
      <c r="B14" s="117"/>
      <c r="C14" s="480" t="s">
        <v>152</v>
      </c>
      <c r="D14" s="699" t="str">
        <f>IF(ISBLANK('4a_sud-journal'!U78),"",$AC$6+4)</f>
        <v/>
      </c>
      <c r="E14" s="700"/>
      <c r="F14" s="701"/>
      <c r="G14" s="702"/>
      <c r="H14" s="482"/>
      <c r="I14" s="116"/>
      <c r="J14" s="19"/>
      <c r="K14" s="143"/>
      <c r="L14" s="143"/>
      <c r="M14" s="143"/>
      <c r="P14" s="18"/>
      <c r="Q14" s="118"/>
      <c r="R14" s="118"/>
      <c r="S14" s="118"/>
      <c r="U14" s="18"/>
      <c r="V14" s="18"/>
      <c r="W14" s="18"/>
      <c r="X14" s="18"/>
      <c r="Y14" s="144"/>
      <c r="Z14" s="144"/>
      <c r="AA14" s="144"/>
      <c r="AC14" s="18"/>
      <c r="AD14" s="126"/>
      <c r="AE14" s="126"/>
      <c r="AF14" s="126"/>
      <c r="AI14" s="18"/>
      <c r="AK14" s="18"/>
      <c r="AL14" s="143"/>
      <c r="AM14" s="143"/>
      <c r="AN14" s="143"/>
      <c r="AO14" s="23"/>
      <c r="AT14" s="257"/>
      <c r="AU14" s="260"/>
      <c r="AV14" s="258"/>
      <c r="AW14" s="259"/>
      <c r="AX14" s="266"/>
    </row>
    <row r="15" spans="2:50" s="17" customFormat="1" ht="15" customHeight="1">
      <c r="B15" s="117"/>
      <c r="C15" s="480" t="s">
        <v>112</v>
      </c>
      <c r="D15" s="699" t="str">
        <f>IF(ISBLANK('4a_sud-journal'!U78),"",$AC$6+5)</f>
        <v/>
      </c>
      <c r="E15" s="700"/>
      <c r="F15" s="701"/>
      <c r="G15" s="702"/>
      <c r="H15" s="482"/>
      <c r="I15" s="116"/>
      <c r="J15" s="19"/>
      <c r="K15" s="143"/>
      <c r="L15" s="143"/>
      <c r="M15" s="143"/>
      <c r="P15" s="18"/>
      <c r="Q15" s="118"/>
      <c r="R15" s="118"/>
      <c r="S15" s="118"/>
      <c r="U15" s="18"/>
      <c r="V15" s="18"/>
      <c r="W15" s="18"/>
      <c r="X15" s="18"/>
      <c r="Y15" s="144"/>
      <c r="Z15" s="144"/>
      <c r="AA15" s="144"/>
      <c r="AC15" s="18"/>
      <c r="AD15" s="126"/>
      <c r="AE15" s="126"/>
      <c r="AF15" s="126"/>
      <c r="AI15" s="18"/>
      <c r="AK15" s="18"/>
      <c r="AL15" s="143"/>
      <c r="AM15" s="143"/>
      <c r="AN15" s="143"/>
      <c r="AO15" s="23"/>
      <c r="AT15" s="257"/>
      <c r="AU15" s="258"/>
      <c r="AV15" s="258"/>
      <c r="AW15" s="259"/>
    </row>
    <row r="16" spans="2:50" s="17" customFormat="1" ht="15" customHeight="1">
      <c r="B16" s="117"/>
      <c r="C16" s="480" t="s">
        <v>153</v>
      </c>
      <c r="D16" s="699" t="str">
        <f>IF(ISBLANK('4a_sud-journal'!U78),"",$AC$6+6)</f>
        <v/>
      </c>
      <c r="E16" s="700"/>
      <c r="F16" s="701"/>
      <c r="G16" s="702"/>
      <c r="H16" s="482"/>
      <c r="I16" s="116"/>
      <c r="J16" s="19"/>
      <c r="K16" s="143"/>
      <c r="L16" s="143"/>
      <c r="M16" s="143"/>
      <c r="P16" s="18"/>
      <c r="Q16" s="118"/>
      <c r="R16" s="118"/>
      <c r="S16" s="118"/>
      <c r="U16" s="18"/>
      <c r="V16" s="18"/>
      <c r="W16" s="18"/>
      <c r="X16" s="18"/>
      <c r="Y16" s="144"/>
      <c r="Z16" s="144"/>
      <c r="AA16" s="144"/>
      <c r="AC16" s="18"/>
      <c r="AD16" s="126"/>
      <c r="AE16" s="126"/>
      <c r="AF16" s="126"/>
      <c r="AI16" s="18"/>
      <c r="AK16" s="18"/>
      <c r="AL16" s="143"/>
      <c r="AM16" s="143"/>
      <c r="AN16" s="143"/>
      <c r="AO16" s="23"/>
      <c r="AT16" s="257"/>
      <c r="AU16" s="258"/>
      <c r="AV16" s="258"/>
      <c r="AW16" s="259"/>
    </row>
    <row r="17" spans="2:49" s="17" customFormat="1" ht="15" customHeight="1">
      <c r="B17" s="117"/>
      <c r="C17" s="480" t="s">
        <v>113</v>
      </c>
      <c r="D17" s="699" t="str">
        <f>IF(ISBLANK('4a_sud-journal'!U78),"",$AC$6+7)</f>
        <v/>
      </c>
      <c r="E17" s="700"/>
      <c r="F17" s="701"/>
      <c r="G17" s="702"/>
      <c r="H17" s="482"/>
      <c r="I17" s="116"/>
      <c r="J17" s="19"/>
      <c r="K17" s="143"/>
      <c r="L17" s="143"/>
      <c r="M17" s="143"/>
      <c r="P17" s="18"/>
      <c r="Q17" s="118"/>
      <c r="R17" s="118"/>
      <c r="S17" s="118"/>
      <c r="U17" s="18"/>
      <c r="V17" s="18"/>
      <c r="W17" s="18"/>
      <c r="X17" s="18"/>
      <c r="Y17" s="144"/>
      <c r="Z17" s="144"/>
      <c r="AA17" s="144"/>
      <c r="AC17" s="18"/>
      <c r="AD17" s="126"/>
      <c r="AE17" s="126"/>
      <c r="AF17" s="126"/>
      <c r="AI17" s="18"/>
      <c r="AK17" s="18"/>
      <c r="AL17" s="143"/>
      <c r="AM17" s="143"/>
      <c r="AN17" s="143"/>
      <c r="AO17" s="23"/>
      <c r="AT17" s="257"/>
      <c r="AU17" s="258"/>
      <c r="AV17" s="258"/>
      <c r="AW17" s="259"/>
    </row>
    <row r="18" spans="2:49" s="17" customFormat="1" ht="15" customHeight="1">
      <c r="B18" s="117"/>
      <c r="C18" s="480" t="s">
        <v>154</v>
      </c>
      <c r="D18" s="699" t="str">
        <f>IF(ISBLANK('4a_sud-journal'!U78),"",$AC$6+8)</f>
        <v/>
      </c>
      <c r="E18" s="700"/>
      <c r="F18" s="701"/>
      <c r="G18" s="702"/>
      <c r="H18" s="482"/>
      <c r="I18" s="116"/>
      <c r="J18" s="19"/>
      <c r="K18" s="143"/>
      <c r="L18" s="143"/>
      <c r="M18" s="143"/>
      <c r="P18" s="18"/>
      <c r="Q18" s="118"/>
      <c r="R18" s="118"/>
      <c r="S18" s="118"/>
      <c r="U18" s="18"/>
      <c r="V18" s="18"/>
      <c r="W18" s="18"/>
      <c r="X18" s="18"/>
      <c r="Y18" s="144"/>
      <c r="Z18" s="144"/>
      <c r="AA18" s="144"/>
      <c r="AC18" s="18"/>
      <c r="AD18" s="126"/>
      <c r="AE18" s="126"/>
      <c r="AF18" s="126"/>
      <c r="AI18" s="18"/>
      <c r="AK18" s="18"/>
      <c r="AL18" s="143"/>
      <c r="AM18" s="143"/>
      <c r="AN18" s="143"/>
      <c r="AO18" s="23"/>
      <c r="AT18" s="257"/>
      <c r="AU18" s="258"/>
      <c r="AV18" s="258"/>
      <c r="AW18" s="259"/>
    </row>
    <row r="19" spans="2:49" s="17" customFormat="1" ht="15" customHeight="1">
      <c r="B19" s="117"/>
      <c r="C19" s="480" t="s">
        <v>114</v>
      </c>
      <c r="D19" s="699" t="str">
        <f>IF(ISBLANK('4a_sud-journal'!U78),"",$AC$6+9)</f>
        <v/>
      </c>
      <c r="E19" s="700"/>
      <c r="F19" s="701"/>
      <c r="G19" s="702"/>
      <c r="H19" s="482"/>
      <c r="I19" s="116"/>
      <c r="J19" s="19"/>
      <c r="K19" s="143"/>
      <c r="L19" s="143"/>
      <c r="M19" s="143"/>
      <c r="P19" s="18"/>
      <c r="Q19" s="118"/>
      <c r="R19" s="118"/>
      <c r="S19" s="118"/>
      <c r="U19" s="18"/>
      <c r="V19" s="18"/>
      <c r="W19" s="18"/>
      <c r="X19" s="18"/>
      <c r="Y19" s="144"/>
      <c r="Z19" s="144"/>
      <c r="AA19" s="144"/>
      <c r="AC19" s="18"/>
      <c r="AD19" s="126"/>
      <c r="AE19" s="126"/>
      <c r="AF19" s="126"/>
      <c r="AI19" s="18"/>
      <c r="AK19" s="18"/>
      <c r="AL19" s="143"/>
      <c r="AM19" s="143"/>
      <c r="AN19" s="143"/>
      <c r="AO19" s="23"/>
      <c r="AT19" s="257"/>
      <c r="AU19" s="258"/>
      <c r="AV19" s="258"/>
      <c r="AW19" s="259"/>
    </row>
    <row r="20" spans="2:49" s="17" customFormat="1" ht="15" customHeight="1">
      <c r="B20" s="117"/>
      <c r="C20" s="480" t="s">
        <v>155</v>
      </c>
      <c r="D20" s="699" t="str">
        <f>IF(ISBLANK('4a_sud-journal'!U78),"",$AC$6+10)</f>
        <v/>
      </c>
      <c r="E20" s="700"/>
      <c r="F20" s="701"/>
      <c r="G20" s="702"/>
      <c r="H20" s="482"/>
      <c r="I20" s="116"/>
      <c r="J20" s="19"/>
      <c r="K20" s="143"/>
      <c r="L20" s="143"/>
      <c r="M20" s="143"/>
      <c r="P20" s="18"/>
      <c r="Q20" s="118"/>
      <c r="R20" s="118"/>
      <c r="S20" s="118"/>
      <c r="U20" s="18"/>
      <c r="V20" s="18"/>
      <c r="W20" s="18"/>
      <c r="X20" s="18"/>
      <c r="Y20" s="144"/>
      <c r="Z20" s="144"/>
      <c r="AA20" s="144"/>
      <c r="AC20" s="18"/>
      <c r="AD20" s="126"/>
      <c r="AE20" s="126"/>
      <c r="AF20" s="126"/>
      <c r="AI20" s="18"/>
      <c r="AK20" s="18"/>
      <c r="AL20" s="143"/>
      <c r="AM20" s="143"/>
      <c r="AN20" s="143"/>
      <c r="AO20" s="23"/>
      <c r="AT20" s="257"/>
      <c r="AU20" s="258"/>
      <c r="AV20" s="258"/>
      <c r="AW20" s="259"/>
    </row>
    <row r="21" spans="2:49" s="17" customFormat="1" ht="15" customHeight="1">
      <c r="B21" s="117"/>
      <c r="C21" s="480" t="s">
        <v>115</v>
      </c>
      <c r="D21" s="699" t="str">
        <f>IF(ISBLANK('4a_sud-journal'!U78),"",$AC$6+11)</f>
        <v/>
      </c>
      <c r="E21" s="700"/>
      <c r="F21" s="701"/>
      <c r="G21" s="702"/>
      <c r="H21" s="482"/>
      <c r="I21" s="116"/>
      <c r="J21" s="19"/>
      <c r="K21" s="143"/>
      <c r="L21" s="143"/>
      <c r="M21" s="143"/>
      <c r="P21" s="18"/>
      <c r="Q21" s="118"/>
      <c r="R21" s="118"/>
      <c r="S21" s="118"/>
      <c r="U21" s="18"/>
      <c r="V21" s="18"/>
      <c r="W21" s="18"/>
      <c r="X21" s="18"/>
      <c r="Y21" s="144"/>
      <c r="Z21" s="144"/>
      <c r="AA21" s="144"/>
      <c r="AC21" s="18"/>
      <c r="AD21" s="126"/>
      <c r="AE21" s="126"/>
      <c r="AF21" s="126"/>
      <c r="AI21" s="18"/>
      <c r="AK21" s="18"/>
      <c r="AL21" s="143"/>
      <c r="AM21" s="143"/>
      <c r="AN21" s="143"/>
      <c r="AO21" s="23"/>
      <c r="AT21" s="257"/>
      <c r="AU21" s="260"/>
      <c r="AV21" s="258"/>
      <c r="AW21" s="259"/>
    </row>
    <row r="22" spans="2:49" s="17" customFormat="1" ht="15" customHeight="1">
      <c r="B22" s="117"/>
      <c r="C22" s="480" t="s">
        <v>156</v>
      </c>
      <c r="D22" s="699" t="str">
        <f>IF(ISBLANK('4a_sud-journal'!U78),"",$AC$6+12)</f>
        <v/>
      </c>
      <c r="E22" s="700"/>
      <c r="F22" s="701"/>
      <c r="G22" s="702"/>
      <c r="H22" s="482"/>
      <c r="I22" s="116"/>
      <c r="J22" s="19"/>
      <c r="K22" s="143"/>
      <c r="L22" s="143"/>
      <c r="M22" s="143"/>
      <c r="P22" s="18"/>
      <c r="Q22" s="118"/>
      <c r="R22" s="118"/>
      <c r="S22" s="118"/>
      <c r="U22" s="18"/>
      <c r="V22" s="18"/>
      <c r="W22" s="18"/>
      <c r="X22" s="18"/>
      <c r="Y22" s="144"/>
      <c r="Z22" s="144"/>
      <c r="AA22" s="144"/>
      <c r="AC22" s="18"/>
      <c r="AD22" s="126"/>
      <c r="AE22" s="126"/>
      <c r="AF22" s="126"/>
      <c r="AI22" s="18"/>
      <c r="AK22" s="18"/>
      <c r="AL22" s="143"/>
      <c r="AM22" s="143"/>
      <c r="AN22" s="143"/>
      <c r="AO22" s="23"/>
      <c r="AT22" s="257"/>
      <c r="AU22" s="260"/>
      <c r="AV22" s="258"/>
      <c r="AW22" s="259"/>
    </row>
    <row r="23" spans="2:49" s="17" customFormat="1" ht="15" customHeight="1">
      <c r="B23" s="117"/>
      <c r="C23" s="480" t="s">
        <v>116</v>
      </c>
      <c r="D23" s="699" t="str">
        <f>IF(ISBLANK('4a_sud-journal'!U78),"",$AC$6+13)</f>
        <v/>
      </c>
      <c r="E23" s="700"/>
      <c r="F23" s="701"/>
      <c r="G23" s="702"/>
      <c r="H23" s="482"/>
      <c r="I23" s="116"/>
      <c r="J23" s="19"/>
      <c r="K23" s="143"/>
      <c r="L23" s="143"/>
      <c r="M23" s="143"/>
      <c r="P23" s="18"/>
      <c r="Q23" s="118"/>
      <c r="R23" s="118"/>
      <c r="S23" s="118"/>
      <c r="U23" s="18"/>
      <c r="V23" s="18"/>
      <c r="W23" s="18"/>
      <c r="X23" s="18"/>
      <c r="Y23" s="144"/>
      <c r="Z23" s="144"/>
      <c r="AA23" s="144"/>
      <c r="AC23" s="18"/>
      <c r="AD23" s="126"/>
      <c r="AE23" s="126"/>
      <c r="AF23" s="126"/>
      <c r="AI23" s="18"/>
      <c r="AK23" s="18"/>
      <c r="AL23" s="143"/>
      <c r="AM23" s="143"/>
      <c r="AN23" s="143"/>
      <c r="AO23" s="23"/>
      <c r="AT23" s="257"/>
      <c r="AU23" s="260"/>
      <c r="AV23" s="258"/>
      <c r="AW23" s="259"/>
    </row>
    <row r="24" spans="2:49" s="17" customFormat="1" ht="15" customHeight="1">
      <c r="B24" s="117"/>
      <c r="C24" s="480" t="s">
        <v>837</v>
      </c>
      <c r="D24" s="699" t="str">
        <f>IF(ISBLANK('4a_sud-journal'!U78),"",$AC$6+14)</f>
        <v/>
      </c>
      <c r="E24" s="700"/>
      <c r="F24" s="701"/>
      <c r="G24" s="702"/>
      <c r="H24" s="482"/>
      <c r="I24" s="116"/>
      <c r="J24" s="19"/>
      <c r="K24" s="143"/>
      <c r="L24" s="143"/>
      <c r="M24" s="143"/>
      <c r="P24" s="18"/>
      <c r="Q24" s="118"/>
      <c r="R24" s="118"/>
      <c r="S24" s="118"/>
      <c r="U24" s="18"/>
      <c r="V24" s="18"/>
      <c r="W24" s="18"/>
      <c r="X24" s="18"/>
      <c r="Y24" s="144"/>
      <c r="Z24" s="144"/>
      <c r="AA24" s="144"/>
      <c r="AC24" s="18"/>
      <c r="AD24" s="126"/>
      <c r="AE24" s="126"/>
      <c r="AF24" s="126"/>
      <c r="AI24" s="18"/>
      <c r="AK24" s="18"/>
      <c r="AL24" s="143"/>
      <c r="AM24" s="143"/>
      <c r="AN24" s="143"/>
      <c r="AO24" s="23"/>
      <c r="AT24" s="257"/>
      <c r="AU24" s="258"/>
      <c r="AV24" s="258"/>
      <c r="AW24" s="259"/>
    </row>
    <row r="25" spans="2:49" ht="15" customHeight="1">
      <c r="B25" s="117"/>
      <c r="C25" s="481" t="s">
        <v>117</v>
      </c>
      <c r="D25" s="699" t="str">
        <f>IF(ISBLANK('4a_sud-journal'!U78),"",$AC$6+15)</f>
        <v/>
      </c>
      <c r="E25" s="700"/>
      <c r="F25" s="701"/>
      <c r="G25" s="702"/>
      <c r="H25" s="483"/>
      <c r="I25" s="17"/>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3"/>
      <c r="AT25" s="257" t="s">
        <v>840</v>
      </c>
      <c r="AU25" s="258" t="s">
        <v>885</v>
      </c>
      <c r="AV25" s="258" t="s">
        <v>886</v>
      </c>
      <c r="AW25" s="259" t="s">
        <v>885</v>
      </c>
    </row>
    <row r="26" spans="2:49" ht="2.25" customHeight="1">
      <c r="B26" s="117"/>
      <c r="C26" s="18"/>
      <c r="D26" s="18"/>
      <c r="E26" s="142"/>
      <c r="F26" s="142"/>
      <c r="G26" s="116"/>
      <c r="H26" s="116"/>
      <c r="I26" s="116"/>
      <c r="J26" s="119"/>
      <c r="K26" s="145"/>
      <c r="L26" s="145"/>
      <c r="M26" s="145"/>
      <c r="N26" s="145"/>
      <c r="O26" s="120"/>
      <c r="P26" s="120"/>
      <c r="Q26" s="120"/>
      <c r="R26" s="121"/>
      <c r="S26" s="120"/>
      <c r="T26" s="122"/>
      <c r="U26" s="122"/>
      <c r="V26" s="120"/>
      <c r="W26" s="121"/>
      <c r="X26" s="120"/>
      <c r="Y26" s="28"/>
      <c r="Z26" s="28"/>
      <c r="AA26" s="120"/>
      <c r="AB26" s="122"/>
      <c r="AC26" s="122"/>
      <c r="AD26" s="122"/>
      <c r="AE26" s="120"/>
      <c r="AF26" s="28"/>
      <c r="AG26" s="28"/>
      <c r="AH26" s="120"/>
      <c r="AI26" s="120"/>
      <c r="AJ26" s="120"/>
      <c r="AK26" s="122"/>
      <c r="AL26" s="122"/>
      <c r="AM26" s="122"/>
      <c r="AN26" s="28"/>
      <c r="AO26" s="23"/>
      <c r="AS26" s="17"/>
      <c r="AT26" s="257" t="s">
        <v>839</v>
      </c>
      <c r="AU26" s="258" t="s">
        <v>887</v>
      </c>
      <c r="AV26" s="258" t="s">
        <v>888</v>
      </c>
      <c r="AW26" s="259" t="s">
        <v>889</v>
      </c>
    </row>
    <row r="27" spans="2:49" s="17" customFormat="1" ht="2.25" customHeight="1">
      <c r="B27" s="117"/>
      <c r="C27" s="703"/>
      <c r="D27" s="704"/>
      <c r="E27" s="704"/>
      <c r="F27" s="704"/>
      <c r="G27" s="704"/>
      <c r="H27" s="705"/>
      <c r="I27" s="116"/>
      <c r="J27" s="123"/>
      <c r="K27" s="120"/>
      <c r="L27" s="120"/>
      <c r="M27" s="124"/>
      <c r="N27" s="124"/>
      <c r="O27" s="124"/>
      <c r="P27" s="120"/>
      <c r="Q27" s="120"/>
      <c r="R27" s="121"/>
      <c r="S27" s="121"/>
      <c r="T27" s="121"/>
      <c r="U27" s="120"/>
      <c r="V27" s="124"/>
      <c r="W27" s="124"/>
      <c r="X27" s="124"/>
      <c r="Y27" s="28"/>
      <c r="Z27" s="28"/>
      <c r="AA27" s="28"/>
      <c r="AB27" s="28"/>
      <c r="AC27" s="28"/>
      <c r="AD27" s="120"/>
      <c r="AE27" s="120"/>
      <c r="AF27" s="124"/>
      <c r="AG27" s="124"/>
      <c r="AH27" s="124"/>
      <c r="AI27" s="120"/>
      <c r="AJ27" s="28"/>
      <c r="AK27" s="120"/>
      <c r="AL27" s="123"/>
      <c r="AM27" s="123"/>
      <c r="AN27" s="28"/>
      <c r="AO27" s="23"/>
      <c r="AT27" s="257" t="s">
        <v>845</v>
      </c>
      <c r="AU27" s="258" t="s">
        <v>887</v>
      </c>
      <c r="AV27" s="258" t="s">
        <v>888</v>
      </c>
      <c r="AW27" s="259" t="s">
        <v>889</v>
      </c>
    </row>
    <row r="28" spans="2:49" s="17" customFormat="1" ht="15" customHeight="1">
      <c r="B28" s="117"/>
      <c r="C28" s="530" t="s">
        <v>21</v>
      </c>
      <c r="D28" s="682" t="s">
        <v>856</v>
      </c>
      <c r="E28" s="1076" t="str">
        <f>'3_rezeptkarte'!L74</f>
        <v>bitte wählen</v>
      </c>
      <c r="F28" s="1076"/>
      <c r="G28" s="706" t="s">
        <v>80</v>
      </c>
      <c r="H28" s="707"/>
      <c r="I28" s="125"/>
      <c r="J28" s="123"/>
      <c r="K28" s="28"/>
      <c r="L28" s="28"/>
      <c r="M28" s="28"/>
      <c r="N28" s="28"/>
      <c r="O28" s="28"/>
      <c r="P28" s="120"/>
      <c r="Q28" s="120"/>
      <c r="R28" s="121"/>
      <c r="S28" s="121"/>
      <c r="T28" s="121"/>
      <c r="U28" s="28"/>
      <c r="V28" s="120"/>
      <c r="W28" s="124"/>
      <c r="X28" s="124"/>
      <c r="Y28" s="28"/>
      <c r="Z28" s="28"/>
      <c r="AA28" s="28"/>
      <c r="AB28" s="28"/>
      <c r="AC28" s="28"/>
      <c r="AD28" s="120"/>
      <c r="AE28" s="28"/>
      <c r="AF28" s="120"/>
      <c r="AG28" s="28"/>
      <c r="AH28" s="28"/>
      <c r="AI28" s="28"/>
      <c r="AJ28" s="120"/>
      <c r="AK28" s="120"/>
      <c r="AL28" s="123"/>
      <c r="AM28" s="123"/>
      <c r="AN28" s="28"/>
      <c r="AO28" s="23"/>
      <c r="AT28" s="257"/>
      <c r="AU28" s="258"/>
      <c r="AV28" s="258"/>
      <c r="AW28" s="259"/>
    </row>
    <row r="29" spans="2:49" s="17" customFormat="1" ht="15" customHeight="1">
      <c r="B29" s="117"/>
      <c r="C29" s="708"/>
      <c r="D29" s="682"/>
      <c r="E29" s="682" t="s">
        <v>93</v>
      </c>
      <c r="F29" s="721" t="str">
        <f>IF(ISERROR(VLOOKUP(H6,daten!J2:M111,3,FALSE)),"",VLOOKUP(H6,daten!J2:M111,3,FALSE))</f>
        <v/>
      </c>
      <c r="G29" s="706" t="s">
        <v>4</v>
      </c>
      <c r="H29" s="709"/>
      <c r="I29" s="126"/>
      <c r="J29" s="29"/>
      <c r="P29" s="18"/>
      <c r="Q29" s="18"/>
      <c r="R29" s="118"/>
      <c r="S29" s="118"/>
      <c r="T29" s="118"/>
      <c r="V29" s="18"/>
      <c r="W29" s="127"/>
      <c r="X29" s="127"/>
      <c r="AD29" s="18"/>
      <c r="AF29" s="18"/>
      <c r="AJ29" s="18"/>
      <c r="AK29" s="18"/>
      <c r="AL29" s="29"/>
      <c r="AM29" s="29"/>
      <c r="AO29" s="23"/>
      <c r="AT29" s="257"/>
      <c r="AU29" s="258"/>
      <c r="AV29" s="258"/>
      <c r="AW29" s="259"/>
    </row>
    <row r="30" spans="2:49" s="17" customFormat="1" ht="2.25" customHeight="1">
      <c r="B30" s="117"/>
      <c r="C30" s="670"/>
      <c r="D30" s="710"/>
      <c r="E30" s="711"/>
      <c r="F30" s="711"/>
      <c r="G30" s="712"/>
      <c r="H30" s="713"/>
      <c r="I30" s="126"/>
      <c r="J30" s="29"/>
      <c r="P30" s="18"/>
      <c r="Q30" s="18"/>
      <c r="R30" s="118"/>
      <c r="S30" s="118"/>
      <c r="T30" s="118"/>
      <c r="V30" s="18"/>
      <c r="W30" s="127"/>
      <c r="X30" s="127"/>
      <c r="AD30" s="18"/>
      <c r="AF30" s="18"/>
      <c r="AJ30" s="18"/>
      <c r="AK30" s="18"/>
      <c r="AL30" s="29"/>
      <c r="AM30" s="29"/>
      <c r="AO30" s="23"/>
      <c r="AT30" s="257"/>
      <c r="AU30" s="258"/>
      <c r="AV30" s="258"/>
      <c r="AW30" s="259"/>
    </row>
    <row r="31" spans="2:49" s="17" customFormat="1" ht="2.25" customHeight="1">
      <c r="B31" s="117"/>
      <c r="D31" s="18"/>
      <c r="E31" s="120"/>
      <c r="F31" s="121"/>
      <c r="G31" s="128"/>
      <c r="H31" s="135"/>
      <c r="I31" s="135"/>
      <c r="J31" s="29"/>
      <c r="P31" s="18"/>
      <c r="Q31" s="18"/>
      <c r="R31" s="118"/>
      <c r="S31" s="118"/>
      <c r="T31" s="118"/>
      <c r="V31" s="18"/>
      <c r="W31" s="127"/>
      <c r="X31" s="127"/>
      <c r="AD31" s="18"/>
      <c r="AF31" s="18"/>
      <c r="AJ31" s="18"/>
      <c r="AK31" s="18"/>
      <c r="AL31" s="29"/>
      <c r="AM31" s="29"/>
      <c r="AO31" s="23"/>
      <c r="AT31" s="257"/>
      <c r="AU31" s="258"/>
      <c r="AV31" s="258"/>
      <c r="AW31" s="259"/>
    </row>
    <row r="32" spans="2:49" s="17" customFormat="1" ht="2.25" customHeight="1">
      <c r="B32" s="117"/>
      <c r="C32" s="703"/>
      <c r="D32" s="714"/>
      <c r="E32" s="714"/>
      <c r="F32" s="715"/>
      <c r="G32" s="716"/>
      <c r="H32" s="717"/>
      <c r="I32" s="135"/>
      <c r="J32" s="29"/>
      <c r="P32" s="18"/>
      <c r="Q32" s="18"/>
      <c r="R32" s="118"/>
      <c r="S32" s="118"/>
      <c r="T32" s="118"/>
      <c r="V32" s="18"/>
      <c r="W32" s="127"/>
      <c r="X32" s="127"/>
      <c r="AD32" s="18"/>
      <c r="AF32" s="18"/>
      <c r="AJ32" s="18"/>
      <c r="AK32" s="18"/>
      <c r="AL32" s="29"/>
      <c r="AM32" s="29"/>
      <c r="AO32" s="23"/>
      <c r="AT32" s="257"/>
      <c r="AU32" s="258"/>
      <c r="AV32" s="258"/>
      <c r="AW32" s="259"/>
    </row>
    <row r="33" spans="2:49" ht="15" customHeight="1">
      <c r="B33" s="10"/>
      <c r="C33" s="530" t="s">
        <v>21</v>
      </c>
      <c r="D33" s="651"/>
      <c r="E33" s="682" t="s">
        <v>94</v>
      </c>
      <c r="F33" s="857" t="str">
        <f>IF(ISERROR(IF($AL$6*AL7&lt;&gt;0,($AL$6-AL7)/$AL$6*100,"0,0 %")),"",IF($AL$6*AL7&lt;&gt;0,($AL$6-AL7)/$AL$6*100,"0,0 %"))</f>
        <v/>
      </c>
      <c r="G33" s="718" t="s">
        <v>5</v>
      </c>
      <c r="H33" s="665"/>
      <c r="I33" s="135"/>
      <c r="J33" s="3"/>
      <c r="AK33" s="3"/>
      <c r="AM33" s="3"/>
      <c r="AO33" s="11"/>
      <c r="AT33" s="257"/>
      <c r="AU33" s="258"/>
      <c r="AV33" s="261"/>
      <c r="AW33" s="259"/>
    </row>
    <row r="34" spans="2:49" ht="15" customHeight="1">
      <c r="B34" s="10"/>
      <c r="C34" s="708"/>
      <c r="D34" s="651"/>
      <c r="E34" s="682" t="s">
        <v>95</v>
      </c>
      <c r="F34" s="858" t="str">
        <f>IF(ISERROR(F33*0.81),"",F33*0.81)</f>
        <v/>
      </c>
      <c r="G34" s="718" t="s">
        <v>5</v>
      </c>
      <c r="H34" s="665"/>
      <c r="I34" s="135"/>
      <c r="AO34" s="11"/>
      <c r="AT34" s="257"/>
      <c r="AU34" s="258"/>
      <c r="AV34" s="258"/>
      <c r="AW34" s="259"/>
    </row>
    <row r="35" spans="2:49" ht="15" customHeight="1">
      <c r="B35" s="10"/>
      <c r="C35" s="530" t="s">
        <v>21</v>
      </c>
      <c r="D35" s="651"/>
      <c r="E35" s="682" t="s">
        <v>96</v>
      </c>
      <c r="F35" s="857" t="str">
        <f>IF(ISERROR(IF($AL$6*O7&lt;&gt;0,($AL$6-O7)/$AL$6*100,"0,0 %")),"",IF($AL$6*O7&lt;&gt;0,($AL$6-O7)/$AL$6*100,"0,0 %"))</f>
        <v/>
      </c>
      <c r="G35" s="718" t="s">
        <v>5</v>
      </c>
      <c r="H35" s="665"/>
      <c r="I35" s="135"/>
      <c r="AO35" s="11"/>
      <c r="AT35" s="257"/>
      <c r="AU35" s="258"/>
      <c r="AV35" s="258"/>
      <c r="AW35" s="259"/>
    </row>
    <row r="36" spans="2:49" ht="15" customHeight="1">
      <c r="B36" s="10"/>
      <c r="C36" s="708"/>
      <c r="D36" s="651"/>
      <c r="E36" s="682" t="s">
        <v>97</v>
      </c>
      <c r="F36" s="858" t="str">
        <f>IF(ISERROR(F35*0.81),"",F35*0.81)</f>
        <v/>
      </c>
      <c r="G36" s="718" t="s">
        <v>5</v>
      </c>
      <c r="H36" s="665"/>
      <c r="I36" s="135"/>
      <c r="AO36" s="11"/>
      <c r="AT36" s="257"/>
      <c r="AU36" s="258"/>
      <c r="AV36" s="258"/>
      <c r="AW36" s="259"/>
    </row>
    <row r="37" spans="2:49" ht="15" customHeight="1">
      <c r="B37" s="10"/>
      <c r="C37" s="708"/>
      <c r="D37" s="651"/>
      <c r="E37" s="682" t="s">
        <v>98</v>
      </c>
      <c r="F37" s="722" t="str">
        <f>IF(ISERROR(IF(AF6*AL6&lt;&gt;0,(AF6+'4a_sud-journal'!I79)*AL6*(((4.13*AL6)+997)/1000)/'3_rezeptkarte'!M13,"0,0 %")),"",IF(AF6*AL6&lt;&gt;0,(AF6+'4a_sud-journal'!I79)*AL6*(((4.13*AL6)+997)/1000)/'3_rezeptkarte'!M13,"0,0 %"))</f>
        <v/>
      </c>
      <c r="G37" s="718" t="s">
        <v>5</v>
      </c>
      <c r="H37" s="665"/>
      <c r="I37" s="135"/>
      <c r="AO37" s="11"/>
      <c r="AT37" s="257"/>
      <c r="AU37" s="258"/>
      <c r="AV37" s="258"/>
      <c r="AW37" s="259"/>
    </row>
    <row r="38" spans="2:49" ht="15" customHeight="1">
      <c r="B38" s="10"/>
      <c r="C38" s="530" t="s">
        <v>21</v>
      </c>
      <c r="D38" s="651"/>
      <c r="E38" s="682" t="s">
        <v>65</v>
      </c>
      <c r="F38" s="858" t="str">
        <f>IF(ISERROR((0.5*0.81*(AL6-AL7))/0.795),"",(0.5*0.81*(AL6-AL7))/0.795)</f>
        <v/>
      </c>
      <c r="G38" s="718" t="s">
        <v>163</v>
      </c>
      <c r="H38" s="656"/>
      <c r="I38" s="17"/>
      <c r="AO38" s="11"/>
      <c r="AT38" s="257"/>
      <c r="AU38" s="258"/>
      <c r="AV38" s="258"/>
      <c r="AW38" s="259"/>
    </row>
    <row r="39" spans="2:49" ht="2.25" customHeight="1">
      <c r="B39" s="10"/>
      <c r="C39" s="670"/>
      <c r="D39" s="710"/>
      <c r="E39" s="719"/>
      <c r="F39" s="719"/>
      <c r="G39" s="655"/>
      <c r="H39" s="672"/>
      <c r="I39" s="17"/>
      <c r="AO39" s="11"/>
      <c r="AT39" s="257"/>
      <c r="AU39" s="258"/>
      <c r="AV39" s="258"/>
      <c r="AW39" s="259"/>
    </row>
    <row r="40" spans="2:49" ht="3.75" customHeight="1" thickBot="1">
      <c r="B40" s="12"/>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5"/>
      <c r="AT40" s="257"/>
      <c r="AU40" s="258"/>
      <c r="AV40" s="258"/>
      <c r="AW40" s="259"/>
    </row>
    <row r="41" spans="2:49">
      <c r="AT41" s="262"/>
      <c r="AU41" s="263"/>
      <c r="AV41" s="263"/>
      <c r="AW41" s="264"/>
    </row>
  </sheetData>
  <sheetProtection sheet="1" selectLockedCells="1"/>
  <mergeCells count="18">
    <mergeCell ref="V7:W7"/>
    <mergeCell ref="E6:F6"/>
    <mergeCell ref="H6:S6"/>
    <mergeCell ref="AQ2:AQ3"/>
    <mergeCell ref="AS2:AS3"/>
    <mergeCell ref="E28:F28"/>
    <mergeCell ref="AL3:AO3"/>
    <mergeCell ref="AL2:AO2"/>
    <mergeCell ref="AL7:AM7"/>
    <mergeCell ref="AF7:AG7"/>
    <mergeCell ref="AC7:AD7"/>
    <mergeCell ref="AL6:AM6"/>
    <mergeCell ref="AF6:AG6"/>
    <mergeCell ref="AC6:AD6"/>
    <mergeCell ref="K2:AD3"/>
    <mergeCell ref="O7:P7"/>
    <mergeCell ref="C7:F7"/>
    <mergeCell ref="V6:W6"/>
  </mergeCells>
  <conditionalFormatting sqref="E6 C7 H6 O7 V6:W7 AC6:AD7 AF6:AG7 AL6:AM7 D10:G25 F29 F33 F34 F35 F36 F37 F38">
    <cfRule type="notContainsBlanks" dxfId="16" priority="2">
      <formula>LEN(TRIM(C6))&gt;0</formula>
    </cfRule>
  </conditionalFormatting>
  <conditionalFormatting sqref="E28:F28">
    <cfRule type="containsText" dxfId="15" priority="1" operator="containsText" text="bitte wählen">
      <formula>NOT(ISERROR(SEARCH("bitte wählen",E28)))</formula>
    </cfRule>
  </conditionalFormatting>
  <hyperlinks>
    <hyperlink ref="AS2" location="'6_lagerbericht'!G8" tooltip="Weiter zum Lagerbericht" display="ð" xr:uid="{00000000-0004-0000-0900-000000000000}"/>
    <hyperlink ref="AQ2" location="'4a_sud-journal (handout)'!Q27" tooltip="zurück zum Sud-Journal (Hand-Out)" display="ï" xr:uid="{00000000-0004-0000-0900-000001000000}"/>
    <hyperlink ref="AR2" location="start!A1" tooltip="zur Startseite" display="ñ" xr:uid="{00000000-0004-0000-0900-000002000000}"/>
  </hyperlinks>
  <printOptions horizontalCentered="1"/>
  <pageMargins left="0.70866141732283472" right="0.70866141732283472" top="0.59055118110236227" bottom="0.59055118110236227" header="0.31496062992125984" footer="0.31496062992125984"/>
  <pageSetup paperSize="9" orientation="landscape" r:id="rId1"/>
  <headerFooter>
    <oddFooter>&amp;L&amp;"Arial,Fett"Seite &amp;P von &amp;N&amp;R&amp;"Arial,Fett"www.bierbrauerei.net</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dimension ref="B1:AW44"/>
  <sheetViews>
    <sheetView showGridLines="0" showRowColHeaders="0" showRuler="0" showWhiteSpace="0" zoomScale="120" zoomScaleNormal="120" zoomScaleSheetLayoutView="120" zoomScalePageLayoutView="120" workbookViewId="0">
      <pane ySplit="4" topLeftCell="A5" activePane="bottomLeft" state="frozen"/>
      <selection pane="bottomLeft" activeCell="AV2" sqref="AV2:AV3"/>
    </sheetView>
  </sheetViews>
  <sheetFormatPr baseColWidth="10" defaultColWidth="2.88671875" defaultRowHeight="13.8"/>
  <cols>
    <col min="1" max="1" width="1.109375" style="2" customWidth="1"/>
    <col min="2" max="2" width="0.88671875" style="2" customWidth="1"/>
    <col min="3" max="3" width="5.44140625" style="2" customWidth="1"/>
    <col min="4" max="4" width="6" style="2" customWidth="1"/>
    <col min="5" max="7" width="7.109375" style="2" customWidth="1"/>
    <col min="8" max="8" width="3.109375" style="2" customWidth="1"/>
    <col min="9" max="9" width="4.33203125" style="2" customWidth="1"/>
    <col min="10" max="10" width="2.44140625" style="2" customWidth="1"/>
    <col min="11" max="11" width="1" style="2" customWidth="1"/>
    <col min="12" max="15" width="3.109375" style="2" customWidth="1"/>
    <col min="16" max="16" width="1" style="2" customWidth="1"/>
    <col min="17" max="18" width="3" style="2" customWidth="1"/>
    <col min="19" max="19" width="3.109375" style="2" customWidth="1"/>
    <col min="20" max="20" width="1" style="2" customWidth="1"/>
    <col min="21" max="21" width="3.109375" style="2" customWidth="1"/>
    <col min="22" max="22" width="4.6640625" style="2" customWidth="1"/>
    <col min="23" max="24" width="5.5546875" style="2" customWidth="1"/>
    <col min="25" max="25" width="5.33203125" style="2" customWidth="1"/>
    <col min="26" max="26" width="2.44140625" style="2" customWidth="1"/>
    <col min="27" max="27" width="1" style="2" customWidth="1"/>
    <col min="28" max="28" width="3" style="2" customWidth="1"/>
    <col min="29" max="29" width="1" style="2" customWidth="1"/>
    <col min="30" max="30" width="3" style="2" customWidth="1"/>
    <col min="31" max="31" width="2.88671875" style="2" customWidth="1"/>
    <col min="32" max="32" width="3.44140625" style="2" customWidth="1"/>
    <col min="33" max="33" width="1" style="2" customWidth="1"/>
    <col min="34" max="34" width="3.109375" style="2" customWidth="1"/>
    <col min="35" max="35" width="4.88671875" style="2" customWidth="1"/>
    <col min="36" max="36" width="1" style="2" customWidth="1"/>
    <col min="37" max="37" width="3.109375" style="2" customWidth="1"/>
    <col min="38" max="38" width="1" style="2" customWidth="1"/>
    <col min="39" max="39" width="2.109375" style="2" customWidth="1"/>
    <col min="40" max="42" width="1" style="2" customWidth="1"/>
    <col min="43" max="43" width="3.109375" style="2" customWidth="1"/>
    <col min="44" max="44" width="0.88671875" style="2" customWidth="1"/>
    <col min="45" max="45" width="2.88671875" style="2" customWidth="1"/>
    <col min="46" max="48" width="3.109375" style="2" customWidth="1"/>
    <col min="49" max="51" width="4.33203125" style="2" bestFit="1" customWidth="1"/>
    <col min="52" max="52" width="4" style="2" bestFit="1" customWidth="1"/>
    <col min="53" max="67" width="4.33203125" style="2" bestFit="1" customWidth="1"/>
    <col min="68" max="16384" width="2.88671875" style="2"/>
  </cols>
  <sheetData>
    <row r="1" spans="2:49" ht="6" customHeight="1" thickBot="1"/>
    <row r="2" spans="2:49" ht="15" customHeight="1">
      <c r="B2" s="136"/>
      <c r="C2" s="133"/>
      <c r="D2" s="146"/>
      <c r="E2" s="133"/>
      <c r="F2" s="133"/>
      <c r="G2" s="139"/>
      <c r="H2" s="1024" t="s">
        <v>100</v>
      </c>
      <c r="I2" s="1025"/>
      <c r="J2" s="1025"/>
      <c r="K2" s="1025"/>
      <c r="L2" s="1025"/>
      <c r="M2" s="1025"/>
      <c r="N2" s="1025"/>
      <c r="O2" s="1025"/>
      <c r="P2" s="1025"/>
      <c r="Q2" s="1025"/>
      <c r="R2" s="1025"/>
      <c r="S2" s="1025"/>
      <c r="T2" s="1025"/>
      <c r="U2" s="1025"/>
      <c r="V2" s="1025"/>
      <c r="W2" s="1025"/>
      <c r="X2" s="1025"/>
      <c r="Y2" s="1025"/>
      <c r="Z2" s="1025"/>
      <c r="AA2" s="1025"/>
      <c r="AB2" s="1025"/>
      <c r="AC2" s="1025"/>
      <c r="AD2" s="1026"/>
      <c r="AE2" s="5"/>
      <c r="AF2" s="5"/>
      <c r="AG2" s="5"/>
      <c r="AH2" s="5"/>
      <c r="AI2" s="5"/>
      <c r="AJ2" s="5"/>
      <c r="AK2" s="860" t="s">
        <v>15</v>
      </c>
      <c r="AL2" s="1022">
        <f>rechenfibel!AD2</f>
        <v>43590</v>
      </c>
      <c r="AM2" s="1022"/>
      <c r="AN2" s="1022"/>
      <c r="AO2" s="1022"/>
      <c r="AP2" s="1022"/>
      <c r="AQ2" s="1022"/>
      <c r="AR2" s="1023"/>
      <c r="AT2" s="877" t="s">
        <v>246</v>
      </c>
      <c r="AU2" s="439" t="s">
        <v>832</v>
      </c>
      <c r="AV2" s="879" t="s">
        <v>242</v>
      </c>
    </row>
    <row r="3" spans="2:49" ht="15" customHeight="1" thickBot="1">
      <c r="B3" s="137"/>
      <c r="C3" s="134"/>
      <c r="D3" s="420"/>
      <c r="E3" s="420"/>
      <c r="F3" s="134"/>
      <c r="G3" s="140"/>
      <c r="H3" s="1027"/>
      <c r="I3" s="1028"/>
      <c r="J3" s="1028"/>
      <c r="K3" s="1028"/>
      <c r="L3" s="1028"/>
      <c r="M3" s="1028"/>
      <c r="N3" s="1028"/>
      <c r="O3" s="1028"/>
      <c r="P3" s="1028"/>
      <c r="Q3" s="1028"/>
      <c r="R3" s="1028"/>
      <c r="S3" s="1028"/>
      <c r="T3" s="1028"/>
      <c r="U3" s="1028"/>
      <c r="V3" s="1028"/>
      <c r="W3" s="1028"/>
      <c r="X3" s="1028"/>
      <c r="Y3" s="1028"/>
      <c r="Z3" s="1028"/>
      <c r="AA3" s="1028"/>
      <c r="AB3" s="1028"/>
      <c r="AC3" s="1028"/>
      <c r="AD3" s="1029"/>
      <c r="AE3" s="13"/>
      <c r="AF3" s="13"/>
      <c r="AG3" s="13"/>
      <c r="AH3" s="13"/>
      <c r="AI3" s="13"/>
      <c r="AJ3" s="14"/>
      <c r="AK3" s="14" t="s">
        <v>22</v>
      </c>
      <c r="AL3" s="1077">
        <f>rechenfibel!AD3</f>
        <v>43556</v>
      </c>
      <c r="AM3" s="1077"/>
      <c r="AN3" s="1077"/>
      <c r="AO3" s="1077"/>
      <c r="AP3" s="1077"/>
      <c r="AQ3" s="1077"/>
      <c r="AR3" s="1078"/>
      <c r="AT3" s="878"/>
      <c r="AU3" s="441"/>
      <c r="AV3" s="880"/>
    </row>
    <row r="4" spans="2:49" ht="4.5" customHeight="1" thickBot="1"/>
    <row r="5" spans="2:49" ht="2.25" customHeight="1">
      <c r="B5" s="4"/>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6"/>
    </row>
    <row r="6" spans="2:49" ht="15" customHeight="1">
      <c r="B6" s="10"/>
      <c r="C6" s="531" t="s">
        <v>21</v>
      </c>
      <c r="D6" s="3" t="s">
        <v>89</v>
      </c>
      <c r="E6" s="989" t="str">
        <f>IF(ISBLANK('1_vorbereitung'!M6),"",'1_vorbereitung'!M6)</f>
        <v/>
      </c>
      <c r="F6" s="989"/>
      <c r="H6" s="3" t="s">
        <v>90</v>
      </c>
      <c r="I6" s="989" t="str">
        <f>IF(ISBLANK('3_rezeptkarte'!C6),"",'3_rezeptkarte'!C6)</f>
        <v/>
      </c>
      <c r="J6" s="989"/>
      <c r="K6" s="989"/>
      <c r="L6" s="989"/>
      <c r="M6" s="989"/>
      <c r="N6" s="989"/>
      <c r="O6" s="989"/>
      <c r="P6" s="989"/>
      <c r="Q6" s="989"/>
      <c r="R6" s="989"/>
      <c r="S6" s="989"/>
      <c r="T6" s="38"/>
      <c r="X6" s="3" t="s">
        <v>92</v>
      </c>
      <c r="Y6" s="1089" t="str">
        <f>IF(ISBLANK('5_gaerdiagramm'!AC7),"",'5_gaerdiagramm'!AC7)</f>
        <v/>
      </c>
      <c r="Z6" s="1089"/>
      <c r="AA6" s="1089"/>
      <c r="AB6" s="16"/>
      <c r="AC6" s="3" t="s">
        <v>8</v>
      </c>
      <c r="AD6" s="1019" t="str">
        <f>IF(ISBLANK('5_gaerdiagramm'!AF7),"",'5_gaerdiagramm'!AF7)</f>
        <v/>
      </c>
      <c r="AE6" s="1019"/>
      <c r="AF6" s="17" t="s">
        <v>882</v>
      </c>
      <c r="AG6" s="135"/>
      <c r="AJ6" s="3"/>
      <c r="AK6" s="3"/>
      <c r="AL6" s="1087" t="str">
        <f>IF(ISBLANK('5_gaerdiagramm'!AL7),"",'5_gaerdiagramm'!AL7)</f>
        <v/>
      </c>
      <c r="AM6" s="1087"/>
      <c r="AN6" s="1087"/>
      <c r="AO6" s="1087"/>
      <c r="AP6" s="1087"/>
      <c r="AQ6" s="1087"/>
      <c r="AR6" s="11"/>
    </row>
    <row r="7" spans="2:49" ht="15" customHeight="1">
      <c r="B7" s="10"/>
      <c r="C7" s="19"/>
      <c r="D7" s="19" t="s">
        <v>101</v>
      </c>
      <c r="E7" s="756" t="str">
        <f>IF(ISBLANK('4a_sud-journal'!V79),"",'4a_sud-journal'!V79)</f>
        <v/>
      </c>
      <c r="F7" s="3" t="s">
        <v>99</v>
      </c>
      <c r="G7" s="859"/>
      <c r="H7" s="2" t="s">
        <v>4</v>
      </c>
      <c r="J7" s="17"/>
      <c r="K7" s="17"/>
      <c r="L7" s="17"/>
      <c r="M7" s="17"/>
      <c r="N7" s="17"/>
      <c r="O7" s="17"/>
      <c r="P7" s="3"/>
      <c r="Q7" s="19" t="s">
        <v>221</v>
      </c>
      <c r="R7" s="1019" t="str">
        <f>IF(ISBLANK('5_gaerdiagramm'!O7),"",'5_gaerdiagramm'!O7)</f>
        <v/>
      </c>
      <c r="S7" s="1019"/>
      <c r="T7" s="17" t="s">
        <v>39</v>
      </c>
      <c r="V7" s="3"/>
      <c r="W7" s="3"/>
      <c r="X7" s="3" t="s">
        <v>102</v>
      </c>
      <c r="Y7" s="1086"/>
      <c r="Z7" s="1086"/>
      <c r="AA7" s="1086"/>
      <c r="AB7" s="17"/>
      <c r="AC7" s="3" t="s">
        <v>8</v>
      </c>
      <c r="AD7" s="892"/>
      <c r="AE7" s="892"/>
      <c r="AF7" s="17" t="s">
        <v>882</v>
      </c>
      <c r="AG7" s="135"/>
      <c r="AH7" s="17"/>
      <c r="AI7" s="3"/>
      <c r="AL7" s="1088"/>
      <c r="AM7" s="1088"/>
      <c r="AN7" s="1088"/>
      <c r="AO7" s="1088"/>
      <c r="AP7" s="1088"/>
      <c r="AQ7" s="1088"/>
      <c r="AR7" s="11"/>
      <c r="AT7" s="17"/>
      <c r="AU7" s="17"/>
      <c r="AV7" s="17"/>
      <c r="AW7" s="17"/>
    </row>
    <row r="8" spans="2:49" ht="15" customHeight="1">
      <c r="B8" s="10"/>
      <c r="C8" s="19"/>
      <c r="D8" s="19" t="s">
        <v>289</v>
      </c>
      <c r="E8" s="1218"/>
      <c r="F8" s="18" t="s">
        <v>10</v>
      </c>
      <c r="G8" s="759">
        <f>IF(ISERROR(E8+'3_rezeptkarte'!D79),"",E8+'3_rezeptkarte'!D79)</f>
        <v>0</v>
      </c>
      <c r="H8" s="19"/>
      <c r="I8" s="757">
        <f>IF(ISBLANK('3_rezeptkarte'!P78),"",'3_rezeptkarte'!P78)</f>
        <v>0</v>
      </c>
      <c r="J8" s="535" t="s">
        <v>13</v>
      </c>
      <c r="K8" s="17"/>
      <c r="L8" s="1002" t="str">
        <f>IF(ISBLANK('3_rezeptkarte'!U78),"",'3_rezeptkarte'!U78)</f>
        <v>&lt;Hopfensorte wählen&gt;</v>
      </c>
      <c r="M8" s="1002"/>
      <c r="N8" s="1002"/>
      <c r="O8" s="1002"/>
      <c r="P8" s="1002"/>
      <c r="Q8" s="1002"/>
      <c r="R8" s="1002"/>
      <c r="S8" s="1002"/>
      <c r="T8" s="18"/>
      <c r="U8" s="1085" t="str">
        <f>IF(ISBLANK('3_rezeptkarte'!AE78),"",'3_rezeptkarte'!AE78)</f>
        <v/>
      </c>
      <c r="V8" s="1085"/>
      <c r="W8" s="135" t="s">
        <v>872</v>
      </c>
      <c r="X8" s="144"/>
      <c r="Y8" s="757">
        <f>IF(ISBLANK('3_rezeptkarte'!P79),"",'3_rezeptkarte'!P79)</f>
        <v>0</v>
      </c>
      <c r="Z8" s="535" t="s">
        <v>13</v>
      </c>
      <c r="AA8" s="17"/>
      <c r="AB8" s="1002" t="str">
        <f>IF(ISBLANK('3_rezeptkarte'!U79),"",'3_rezeptkarte'!U79)</f>
        <v>&lt;Hopfensorte wählen&gt;</v>
      </c>
      <c r="AC8" s="1002"/>
      <c r="AD8" s="1002"/>
      <c r="AE8" s="1002"/>
      <c r="AF8" s="1002"/>
      <c r="AG8" s="1002"/>
      <c r="AH8" s="1002"/>
      <c r="AI8" s="1002"/>
      <c r="AJ8" s="18"/>
      <c r="AK8" s="1085" t="str">
        <f>IF(ISBLANK('3_rezeptkarte'!AE79),"",'3_rezeptkarte'!AE79)</f>
        <v/>
      </c>
      <c r="AL8" s="1085"/>
      <c r="AM8" s="1085"/>
      <c r="AN8" s="1085"/>
      <c r="AO8" s="1085"/>
      <c r="AP8" s="135" t="s">
        <v>872</v>
      </c>
      <c r="AQ8" s="135"/>
      <c r="AR8" s="11"/>
      <c r="AT8" s="17"/>
      <c r="AU8" s="17"/>
      <c r="AV8" s="17"/>
      <c r="AW8" s="17"/>
    </row>
    <row r="9" spans="2:49" s="17" customFormat="1" ht="2.25" customHeight="1">
      <c r="B9" s="117"/>
      <c r="C9" s="19"/>
      <c r="D9" s="19"/>
      <c r="E9" s="143"/>
      <c r="F9" s="130"/>
      <c r="G9" s="116"/>
      <c r="H9" s="19"/>
      <c r="I9" s="142"/>
      <c r="J9" s="142"/>
      <c r="N9" s="18"/>
      <c r="O9" s="126"/>
      <c r="P9" s="126"/>
      <c r="Q9" s="126"/>
      <c r="R9" s="126"/>
      <c r="T9" s="18"/>
      <c r="U9" s="18"/>
      <c r="V9" s="18"/>
      <c r="W9" s="18"/>
      <c r="X9" s="144"/>
      <c r="Y9" s="144"/>
      <c r="Z9" s="144"/>
      <c r="AB9" s="18"/>
      <c r="AC9" s="126"/>
      <c r="AD9" s="126"/>
      <c r="AE9" s="126"/>
      <c r="AH9" s="18"/>
      <c r="AJ9" s="18"/>
      <c r="AK9" s="143"/>
      <c r="AL9" s="143"/>
      <c r="AM9" s="143"/>
      <c r="AN9" s="143"/>
      <c r="AO9" s="143"/>
      <c r="AP9" s="143"/>
      <c r="AQ9" s="135"/>
      <c r="AR9" s="23"/>
    </row>
    <row r="10" spans="2:49" s="17" customFormat="1" ht="2.25" customHeight="1">
      <c r="B10" s="117"/>
      <c r="C10" s="723"/>
      <c r="D10" s="724"/>
      <c r="E10" s="724"/>
      <c r="F10" s="725"/>
      <c r="G10" s="726"/>
      <c r="H10" s="727"/>
      <c r="I10" s="724"/>
      <c r="J10" s="728"/>
      <c r="K10" s="728"/>
      <c r="L10" s="704"/>
      <c r="M10" s="704"/>
      <c r="N10" s="714"/>
      <c r="O10" s="714"/>
      <c r="P10" s="729"/>
      <c r="Q10" s="729"/>
      <c r="R10" s="730"/>
      <c r="S10" s="704"/>
      <c r="T10" s="714"/>
      <c r="U10" s="714"/>
      <c r="V10" s="714"/>
      <c r="W10" s="714"/>
      <c r="X10" s="731"/>
      <c r="Y10" s="731"/>
      <c r="Z10" s="731"/>
      <c r="AA10" s="704"/>
      <c r="AB10" s="714"/>
      <c r="AC10" s="729"/>
      <c r="AD10" s="729"/>
      <c r="AE10" s="729"/>
      <c r="AF10" s="704"/>
      <c r="AG10" s="704"/>
      <c r="AH10" s="714"/>
      <c r="AI10" s="704"/>
      <c r="AJ10" s="714"/>
      <c r="AK10" s="725"/>
      <c r="AL10" s="725"/>
      <c r="AM10" s="725"/>
      <c r="AN10" s="725"/>
      <c r="AO10" s="725"/>
      <c r="AP10" s="725"/>
      <c r="AQ10" s="732"/>
      <c r="AR10" s="23"/>
    </row>
    <row r="11" spans="2:49" s="28" customFormat="1" ht="15" customHeight="1">
      <c r="B11" s="45"/>
      <c r="C11" s="530" t="s">
        <v>21</v>
      </c>
      <c r="D11" s="733" t="s">
        <v>103</v>
      </c>
      <c r="E11" s="861" t="str">
        <f>IF(ISERROR(IF($E$7*AL7&lt;&gt;0,($E$7-AL7)/$E$7*100,"0,0")),"",IF($E$7*AL7&lt;&gt;0,($E$7-AL7)/$E$7*100,"0,0"))</f>
        <v/>
      </c>
      <c r="F11" s="733" t="s">
        <v>104</v>
      </c>
      <c r="G11" s="861" t="str">
        <f>IF(ISERROR(E11*0.81),"",E11*0.81)</f>
        <v/>
      </c>
      <c r="H11" s="758"/>
      <c r="I11" s="734" t="s">
        <v>96</v>
      </c>
      <c r="J11" s="1083" t="str">
        <f>IF(ISERROR(IF($E$7*R7&lt;&gt;0,($E$7-R7)/$E$7*100,"0,0")),"",IF($E$7*R7&lt;&gt;0,($E$7-R7)/$E$7*100,"0,0"))</f>
        <v/>
      </c>
      <c r="K11" s="1083"/>
      <c r="L11" s="1083"/>
      <c r="M11" s="735"/>
      <c r="N11" s="682" t="s">
        <v>97</v>
      </c>
      <c r="O11" s="1083" t="str">
        <f>IF(ISERROR(J11*0.81),"",J11*0.81)</f>
        <v/>
      </c>
      <c r="P11" s="1083"/>
      <c r="Q11" s="1083"/>
      <c r="R11" s="736"/>
      <c r="S11" s="532" t="s">
        <v>21</v>
      </c>
      <c r="T11" s="682"/>
      <c r="U11" s="682"/>
      <c r="V11" s="682" t="s">
        <v>105</v>
      </c>
      <c r="W11" s="849"/>
      <c r="X11" s="720" t="s">
        <v>883</v>
      </c>
      <c r="Y11" s="737"/>
      <c r="Z11" s="738" t="s">
        <v>106</v>
      </c>
      <c r="AA11" s="1012"/>
      <c r="AB11" s="1012"/>
      <c r="AC11" s="720" t="s">
        <v>4</v>
      </c>
      <c r="AD11" s="683"/>
      <c r="AE11" s="681" t="s">
        <v>242</v>
      </c>
      <c r="AF11" s="653"/>
      <c r="AG11" s="682"/>
      <c r="AH11" s="653"/>
      <c r="AI11" s="653"/>
      <c r="AJ11" s="739"/>
      <c r="AK11" s="739" t="s">
        <v>302</v>
      </c>
      <c r="AL11" s="1084" t="str">
        <f>IF(W11*AA11&lt;&gt;0,((W11+1.013)*EXP(-10.73797+(2617.25/(AA11+273.15))))*10,"")</f>
        <v/>
      </c>
      <c r="AM11" s="1084"/>
      <c r="AN11" s="1084"/>
      <c r="AO11" s="1084"/>
      <c r="AP11" s="688" t="s">
        <v>816</v>
      </c>
      <c r="AQ11" s="740"/>
      <c r="AR11" s="131"/>
    </row>
    <row r="12" spans="2:49" s="17" customFormat="1" ht="2.25" customHeight="1">
      <c r="B12" s="117"/>
      <c r="C12" s="741"/>
      <c r="D12" s="742"/>
      <c r="E12" s="742"/>
      <c r="F12" s="743"/>
      <c r="G12" s="744"/>
      <c r="H12" s="712"/>
      <c r="I12" s="742"/>
      <c r="J12" s="711"/>
      <c r="K12" s="711"/>
      <c r="L12" s="671"/>
      <c r="M12" s="671"/>
      <c r="N12" s="710"/>
      <c r="O12" s="710"/>
      <c r="P12" s="745"/>
      <c r="Q12" s="745"/>
      <c r="R12" s="746"/>
      <c r="S12" s="671"/>
      <c r="T12" s="710"/>
      <c r="U12" s="710"/>
      <c r="V12" s="710"/>
      <c r="W12" s="710"/>
      <c r="X12" s="747" t="s">
        <v>301</v>
      </c>
      <c r="Y12" s="747"/>
      <c r="Z12" s="747"/>
      <c r="AA12" s="671"/>
      <c r="AB12" s="710"/>
      <c r="AC12" s="745"/>
      <c r="AD12" s="745"/>
      <c r="AE12" s="745"/>
      <c r="AF12" s="671"/>
      <c r="AG12" s="671"/>
      <c r="AH12" s="710"/>
      <c r="AI12" s="671"/>
      <c r="AJ12" s="710"/>
      <c r="AK12" s="743"/>
      <c r="AL12" s="743"/>
      <c r="AM12" s="743"/>
      <c r="AN12" s="743"/>
      <c r="AO12" s="743"/>
      <c r="AP12" s="743"/>
      <c r="AQ12" s="748"/>
      <c r="AR12" s="23"/>
    </row>
    <row r="13" spans="2:49" s="17" customFormat="1" ht="2.25" customHeight="1">
      <c r="B13" s="117"/>
      <c r="D13" s="18"/>
      <c r="E13" s="120"/>
      <c r="F13" s="121"/>
      <c r="G13" s="128"/>
      <c r="H13" s="135"/>
      <c r="I13" s="19"/>
      <c r="J13" s="143"/>
      <c r="K13" s="143"/>
      <c r="N13" s="118"/>
      <c r="O13" s="118"/>
      <c r="P13" s="118"/>
      <c r="Q13" s="118"/>
      <c r="R13" s="118"/>
      <c r="T13" s="18"/>
      <c r="U13" s="18"/>
      <c r="V13" s="18"/>
      <c r="W13" s="18"/>
      <c r="X13" s="144"/>
      <c r="Y13" s="144"/>
      <c r="Z13" s="144"/>
      <c r="AB13" s="18"/>
      <c r="AC13" s="126"/>
      <c r="AD13" s="126"/>
      <c r="AE13" s="126"/>
      <c r="AH13" s="18"/>
      <c r="AJ13" s="18"/>
      <c r="AK13" s="143"/>
      <c r="AL13" s="143"/>
      <c r="AM13" s="143"/>
      <c r="AN13" s="143"/>
      <c r="AO13" s="143"/>
      <c r="AP13" s="143"/>
      <c r="AQ13" s="143"/>
      <c r="AR13" s="23"/>
    </row>
    <row r="14" spans="2:49" ht="15" customHeight="1">
      <c r="B14" s="117"/>
      <c r="C14" s="469"/>
      <c r="D14" s="470" t="s">
        <v>23</v>
      </c>
      <c r="E14" s="471" t="s">
        <v>107</v>
      </c>
      <c r="F14" s="472" t="s">
        <v>108</v>
      </c>
      <c r="G14" s="473" t="s">
        <v>109</v>
      </c>
      <c r="H14" s="135"/>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3"/>
    </row>
    <row r="15" spans="2:49" ht="14.4" customHeight="1">
      <c r="B15" s="117"/>
      <c r="C15" s="474" t="s">
        <v>110</v>
      </c>
      <c r="D15" s="749" t="str">
        <f>IF(ISBLANK('5_gaerdiagramm'!AC7),"",'5_gaerdiagramm'!AC7+1)</f>
        <v/>
      </c>
      <c r="E15" s="750"/>
      <c r="F15" s="751"/>
      <c r="G15" s="752"/>
      <c r="H15" s="128"/>
      <c r="I15" s="119"/>
      <c r="J15" s="145"/>
      <c r="K15" s="145"/>
      <c r="L15" s="145"/>
      <c r="M15" s="120"/>
      <c r="N15" s="120"/>
      <c r="O15" s="121"/>
      <c r="P15" s="120"/>
      <c r="Q15" s="122"/>
      <c r="R15" s="122"/>
      <c r="S15" s="122"/>
      <c r="T15" s="122"/>
      <c r="U15" s="120"/>
      <c r="V15" s="121"/>
      <c r="W15" s="120"/>
      <c r="X15" s="28"/>
      <c r="Y15" s="28"/>
      <c r="Z15" s="120"/>
      <c r="AA15" s="122"/>
      <c r="AB15" s="122"/>
      <c r="AC15" s="122"/>
      <c r="AD15" s="120"/>
      <c r="AE15" s="28"/>
      <c r="AF15" s="28"/>
      <c r="AG15" s="120"/>
      <c r="AH15" s="120"/>
      <c r="AI15" s="120"/>
      <c r="AJ15" s="122"/>
      <c r="AK15" s="122"/>
      <c r="AL15" s="122"/>
      <c r="AM15" s="122"/>
      <c r="AN15" s="122"/>
      <c r="AO15" s="122"/>
      <c r="AP15" s="122"/>
      <c r="AQ15" s="28"/>
      <c r="AR15" s="23"/>
      <c r="AT15" s="17"/>
      <c r="AU15" s="17"/>
      <c r="AV15" s="17"/>
      <c r="AW15" s="17"/>
    </row>
    <row r="16" spans="2:49" s="17" customFormat="1" ht="14.4" customHeight="1">
      <c r="B16" s="117"/>
      <c r="C16" s="474" t="s">
        <v>111</v>
      </c>
      <c r="D16" s="749" t="str">
        <f>IF(ISBLANK('5_gaerdiagramm'!AC7),"",'5_gaerdiagramm'!AC7+3)</f>
        <v/>
      </c>
      <c r="E16" s="753"/>
      <c r="F16" s="754"/>
      <c r="G16" s="755"/>
      <c r="H16" s="128"/>
      <c r="I16" s="123"/>
      <c r="J16" s="28"/>
      <c r="K16" s="28"/>
      <c r="L16" s="28"/>
      <c r="M16" s="28"/>
      <c r="N16" s="120"/>
      <c r="O16" s="121"/>
      <c r="P16" s="121"/>
      <c r="Q16" s="121"/>
      <c r="R16" s="121"/>
      <c r="S16" s="121"/>
      <c r="T16" s="28"/>
      <c r="U16" s="120"/>
      <c r="V16" s="124"/>
      <c r="W16" s="124"/>
      <c r="X16" s="28"/>
      <c r="Y16" s="28"/>
      <c r="Z16" s="28"/>
      <c r="AA16" s="28"/>
      <c r="AB16" s="28"/>
      <c r="AC16" s="120"/>
      <c r="AD16" s="28"/>
      <c r="AE16" s="120"/>
      <c r="AF16" s="28"/>
      <c r="AG16" s="28"/>
      <c r="AH16" s="28"/>
      <c r="AI16" s="120"/>
      <c r="AJ16" s="120"/>
      <c r="AK16" s="123"/>
      <c r="AL16" s="123"/>
      <c r="AM16" s="123"/>
      <c r="AN16" s="123"/>
      <c r="AO16" s="123"/>
      <c r="AP16" s="123"/>
      <c r="AQ16" s="28"/>
      <c r="AR16" s="23"/>
    </row>
    <row r="17" spans="2:44" s="17" customFormat="1" ht="14.4" customHeight="1">
      <c r="B17" s="117"/>
      <c r="C17" s="474" t="s">
        <v>112</v>
      </c>
      <c r="D17" s="749" t="str">
        <f>IF(ISBLANK('5_gaerdiagramm'!AC7),"",'5_gaerdiagramm'!AC7+5)</f>
        <v/>
      </c>
      <c r="E17" s="753"/>
      <c r="F17" s="754"/>
      <c r="G17" s="755"/>
      <c r="H17" s="135"/>
      <c r="I17" s="123"/>
      <c r="J17" s="28"/>
      <c r="K17" s="28"/>
      <c r="L17" s="28"/>
      <c r="M17" s="28"/>
      <c r="N17" s="120"/>
      <c r="O17" s="121"/>
      <c r="P17" s="121"/>
      <c r="Q17" s="121"/>
      <c r="R17" s="121"/>
      <c r="S17" s="121"/>
      <c r="T17" s="28"/>
      <c r="U17" s="120"/>
      <c r="V17" s="124"/>
      <c r="W17" s="124"/>
      <c r="X17" s="28"/>
      <c r="Y17" s="28"/>
      <c r="Z17" s="28"/>
      <c r="AA17" s="28"/>
      <c r="AB17" s="28"/>
      <c r="AC17" s="120"/>
      <c r="AD17" s="28"/>
      <c r="AE17" s="120"/>
      <c r="AF17" s="28"/>
      <c r="AG17" s="28"/>
      <c r="AH17" s="28"/>
      <c r="AI17" s="120"/>
      <c r="AJ17" s="120"/>
      <c r="AK17" s="123"/>
      <c r="AL17" s="123"/>
      <c r="AM17" s="123"/>
      <c r="AN17" s="123"/>
      <c r="AO17" s="123"/>
      <c r="AP17" s="123"/>
      <c r="AQ17" s="28"/>
      <c r="AR17" s="23"/>
    </row>
    <row r="18" spans="2:44" s="17" customFormat="1" ht="14.4" customHeight="1">
      <c r="B18" s="117"/>
      <c r="C18" s="474" t="s">
        <v>113</v>
      </c>
      <c r="D18" s="749" t="str">
        <f>IF(ISBLANK('5_gaerdiagramm'!AC7),"",'5_gaerdiagramm'!AC7+7)</f>
        <v/>
      </c>
      <c r="E18" s="753"/>
      <c r="F18" s="754"/>
      <c r="G18" s="755"/>
      <c r="I18" s="123"/>
      <c r="J18" s="28"/>
      <c r="K18" s="28"/>
      <c r="L18" s="28"/>
      <c r="M18" s="28"/>
      <c r="N18" s="120"/>
      <c r="O18" s="121"/>
      <c r="P18" s="121"/>
      <c r="Q18" s="121"/>
      <c r="R18" s="121"/>
      <c r="S18" s="121"/>
      <c r="T18" s="28"/>
      <c r="U18" s="120"/>
      <c r="V18" s="124"/>
      <c r="W18" s="124"/>
      <c r="X18" s="28"/>
      <c r="Y18" s="28"/>
      <c r="Z18" s="28"/>
      <c r="AA18" s="28"/>
      <c r="AB18" s="28"/>
      <c r="AC18" s="120"/>
      <c r="AD18" s="28"/>
      <c r="AE18" s="120"/>
      <c r="AF18" s="28"/>
      <c r="AG18" s="28"/>
      <c r="AH18" s="28"/>
      <c r="AI18" s="120"/>
      <c r="AJ18" s="120"/>
      <c r="AK18" s="123"/>
      <c r="AL18" s="123"/>
      <c r="AM18" s="123"/>
      <c r="AN18" s="123"/>
      <c r="AO18" s="123"/>
      <c r="AP18" s="123"/>
      <c r="AQ18" s="28"/>
      <c r="AR18" s="23"/>
    </row>
    <row r="19" spans="2:44" s="17" customFormat="1" ht="14.4" customHeight="1">
      <c r="B19" s="117"/>
      <c r="C19" s="474" t="s">
        <v>114</v>
      </c>
      <c r="D19" s="749" t="str">
        <f>IF(ISBLANK('5_gaerdiagramm'!AC7),"",'5_gaerdiagramm'!AC7+9)</f>
        <v/>
      </c>
      <c r="E19" s="753"/>
      <c r="F19" s="754"/>
      <c r="G19" s="755"/>
      <c r="H19" s="135"/>
      <c r="I19" s="29"/>
      <c r="N19" s="18"/>
      <c r="O19" s="118"/>
      <c r="P19" s="118"/>
      <c r="Q19" s="118"/>
      <c r="R19" s="118"/>
      <c r="S19" s="118"/>
      <c r="U19" s="18"/>
      <c r="V19" s="127"/>
      <c r="W19" s="127"/>
      <c r="AC19" s="18"/>
      <c r="AE19" s="18"/>
      <c r="AI19" s="18"/>
      <c r="AJ19" s="18"/>
      <c r="AK19" s="29"/>
      <c r="AL19" s="29"/>
      <c r="AM19" s="29"/>
      <c r="AN19" s="29"/>
      <c r="AO19" s="29"/>
      <c r="AP19" s="29"/>
      <c r="AR19" s="23"/>
    </row>
    <row r="20" spans="2:44" s="17" customFormat="1" ht="14.4" customHeight="1">
      <c r="B20" s="117"/>
      <c r="C20" s="474" t="s">
        <v>115</v>
      </c>
      <c r="D20" s="749" t="str">
        <f>IF(ISBLANK('5_gaerdiagramm'!AC7),"",'5_gaerdiagramm'!AC7+11)</f>
        <v/>
      </c>
      <c r="E20" s="753"/>
      <c r="F20" s="754"/>
      <c r="G20" s="755"/>
      <c r="I20" s="29"/>
      <c r="N20" s="18"/>
      <c r="O20" s="118"/>
      <c r="P20" s="118"/>
      <c r="Q20" s="118"/>
      <c r="R20" s="118"/>
      <c r="S20" s="118"/>
      <c r="U20" s="18"/>
      <c r="V20" s="127"/>
      <c r="W20" s="127"/>
      <c r="AC20" s="18"/>
      <c r="AE20" s="18"/>
      <c r="AI20" s="18"/>
      <c r="AJ20" s="18"/>
      <c r="AK20" s="29"/>
      <c r="AL20" s="29"/>
      <c r="AM20" s="29"/>
      <c r="AN20" s="29"/>
      <c r="AO20" s="29"/>
      <c r="AP20" s="29"/>
      <c r="AR20" s="23"/>
    </row>
    <row r="21" spans="2:44" s="17" customFormat="1" ht="14.4" customHeight="1">
      <c r="B21" s="117"/>
      <c r="C21" s="474" t="s">
        <v>116</v>
      </c>
      <c r="D21" s="749" t="str">
        <f>IF(ISBLANK('5_gaerdiagramm'!AC7),"",'5_gaerdiagramm'!AC7+13)</f>
        <v/>
      </c>
      <c r="E21" s="753"/>
      <c r="F21" s="754"/>
      <c r="G21" s="755"/>
      <c r="H21" s="135"/>
      <c r="I21" s="29"/>
      <c r="N21" s="18"/>
      <c r="O21" s="118"/>
      <c r="P21" s="118"/>
      <c r="Q21" s="118"/>
      <c r="R21" s="118"/>
      <c r="S21" s="118"/>
      <c r="U21" s="18"/>
      <c r="V21" s="127"/>
      <c r="W21" s="127"/>
      <c r="AC21" s="18"/>
      <c r="AE21" s="18"/>
      <c r="AI21" s="18"/>
      <c r="AJ21" s="18"/>
      <c r="AK21" s="29"/>
      <c r="AL21" s="29"/>
      <c r="AM21" s="29"/>
      <c r="AN21" s="29"/>
      <c r="AO21" s="29"/>
      <c r="AP21" s="29"/>
      <c r="AR21" s="23"/>
    </row>
    <row r="22" spans="2:44" ht="14.4" customHeight="1">
      <c r="B22" s="10"/>
      <c r="C22" s="474" t="s">
        <v>117</v>
      </c>
      <c r="D22" s="749" t="str">
        <f>IF(ISBLANK('5_gaerdiagramm'!AC7),"",'5_gaerdiagramm'!AC7+15)</f>
        <v/>
      </c>
      <c r="E22" s="753"/>
      <c r="F22" s="754"/>
      <c r="G22" s="755"/>
      <c r="H22" s="17"/>
      <c r="AR22" s="11"/>
    </row>
    <row r="23" spans="2:44" ht="14.4" customHeight="1">
      <c r="B23" s="10"/>
      <c r="C23" s="474" t="s">
        <v>118</v>
      </c>
      <c r="D23" s="749" t="str">
        <f>IF(ISBLANK('5_gaerdiagramm'!AC7),"",'5_gaerdiagramm'!AC7+17)</f>
        <v/>
      </c>
      <c r="E23" s="753"/>
      <c r="F23" s="754"/>
      <c r="G23" s="755"/>
      <c r="AR23" s="11"/>
    </row>
    <row r="24" spans="2:44" ht="14.4" customHeight="1">
      <c r="B24" s="10"/>
      <c r="C24" s="474" t="s">
        <v>119</v>
      </c>
      <c r="D24" s="749" t="str">
        <f>IF(ISBLANK('5_gaerdiagramm'!AC7),"",'5_gaerdiagramm'!AC7+19)</f>
        <v/>
      </c>
      <c r="E24" s="753"/>
      <c r="F24" s="754"/>
      <c r="G24" s="755"/>
      <c r="H24" s="129"/>
      <c r="AR24" s="11"/>
    </row>
    <row r="25" spans="2:44" ht="14.4" customHeight="1">
      <c r="B25" s="10"/>
      <c r="C25" s="474" t="s">
        <v>120</v>
      </c>
      <c r="D25" s="749" t="str">
        <f>IF(ISBLANK('5_gaerdiagramm'!AC7),"",'5_gaerdiagramm'!AC7+21)</f>
        <v/>
      </c>
      <c r="E25" s="753"/>
      <c r="F25" s="754"/>
      <c r="G25" s="755"/>
      <c r="H25" s="147"/>
      <c r="AR25" s="11"/>
    </row>
    <row r="26" spans="2:44" ht="14.4" customHeight="1">
      <c r="B26" s="10"/>
      <c r="C26" s="474" t="s">
        <v>121</v>
      </c>
      <c r="D26" s="749" t="str">
        <f>IF(ISBLANK('5_gaerdiagramm'!AC7),"",'5_gaerdiagramm'!AC7+23)</f>
        <v/>
      </c>
      <c r="E26" s="753"/>
      <c r="F26" s="754"/>
      <c r="G26" s="755"/>
      <c r="H26" s="147"/>
      <c r="AR26" s="11"/>
    </row>
    <row r="27" spans="2:44" ht="14.4" customHeight="1">
      <c r="B27" s="10"/>
      <c r="C27" s="474" t="s">
        <v>122</v>
      </c>
      <c r="D27" s="749" t="str">
        <f>IF(ISBLANK('5_gaerdiagramm'!AC7),"",'5_gaerdiagramm'!AC7+25)</f>
        <v/>
      </c>
      <c r="E27" s="753"/>
      <c r="F27" s="754"/>
      <c r="G27" s="755"/>
      <c r="H27" s="147"/>
      <c r="AR27" s="11"/>
    </row>
    <row r="28" spans="2:44" ht="14.4" customHeight="1">
      <c r="B28" s="10"/>
      <c r="C28" s="474" t="s">
        <v>123</v>
      </c>
      <c r="D28" s="749" t="str">
        <f>IF(ISBLANK('5_gaerdiagramm'!AC7),"",'5_gaerdiagramm'!AC7+27)</f>
        <v/>
      </c>
      <c r="E28" s="753"/>
      <c r="F28" s="754"/>
      <c r="G28" s="755"/>
      <c r="H28" s="147"/>
      <c r="AR28" s="11"/>
    </row>
    <row r="29" spans="2:44" ht="14.4" customHeight="1">
      <c r="B29" s="10"/>
      <c r="C29" s="474" t="s">
        <v>124</v>
      </c>
      <c r="D29" s="749" t="str">
        <f>IF(ISBLANK('5_gaerdiagramm'!AC7),"",'5_gaerdiagramm'!AC7+29)</f>
        <v/>
      </c>
      <c r="E29" s="753"/>
      <c r="F29" s="754"/>
      <c r="G29" s="755"/>
      <c r="H29" s="147"/>
      <c r="AR29" s="11"/>
    </row>
    <row r="30" spans="2:44" ht="14.4" customHeight="1">
      <c r="B30" s="10"/>
      <c r="C30" s="474" t="s">
        <v>125</v>
      </c>
      <c r="D30" s="749" t="str">
        <f>IF(ISBLANK('5_gaerdiagramm'!AC7),"",'5_gaerdiagramm'!AC7+31)</f>
        <v/>
      </c>
      <c r="E30" s="753"/>
      <c r="F30" s="754"/>
      <c r="G30" s="755"/>
      <c r="H30" s="147"/>
      <c r="AR30" s="11"/>
    </row>
    <row r="31" spans="2:44" ht="14.4" customHeight="1">
      <c r="B31" s="10"/>
      <c r="C31" s="474" t="s">
        <v>126</v>
      </c>
      <c r="D31" s="749" t="str">
        <f>IF(ISBLANK('5_gaerdiagramm'!AC7),"",'5_gaerdiagramm'!AC7+33)</f>
        <v/>
      </c>
      <c r="E31" s="753"/>
      <c r="F31" s="754"/>
      <c r="G31" s="755"/>
      <c r="H31" s="147"/>
      <c r="AR31" s="11"/>
    </row>
    <row r="32" spans="2:44" ht="14.4" customHeight="1">
      <c r="B32" s="10"/>
      <c r="C32" s="474" t="s">
        <v>127</v>
      </c>
      <c r="D32" s="749" t="str">
        <f>IF(ISBLANK('5_gaerdiagramm'!AC7),"",'5_gaerdiagramm'!AC7+35)</f>
        <v/>
      </c>
      <c r="E32" s="753"/>
      <c r="F32" s="754"/>
      <c r="G32" s="755"/>
      <c r="H32" s="147"/>
      <c r="AR32" s="11"/>
    </row>
    <row r="33" spans="2:44" ht="14.4" customHeight="1">
      <c r="B33" s="10"/>
      <c r="C33" s="474" t="s">
        <v>128</v>
      </c>
      <c r="D33" s="749" t="str">
        <f>IF(ISBLANK('5_gaerdiagramm'!AC7),"",'5_gaerdiagramm'!AC7+37)</f>
        <v/>
      </c>
      <c r="E33" s="753"/>
      <c r="F33" s="754"/>
      <c r="G33" s="755"/>
      <c r="H33" s="147"/>
      <c r="AR33" s="11"/>
    </row>
    <row r="34" spans="2:44" ht="14.4" customHeight="1">
      <c r="B34" s="10"/>
      <c r="C34" s="474" t="s">
        <v>129</v>
      </c>
      <c r="D34" s="749" t="str">
        <f>IF(ISBLANK('5_gaerdiagramm'!AC7),"",'5_gaerdiagramm'!AC7+39)</f>
        <v/>
      </c>
      <c r="E34" s="753"/>
      <c r="F34" s="754"/>
      <c r="G34" s="755"/>
      <c r="H34" s="147"/>
      <c r="AR34" s="11"/>
    </row>
    <row r="35" spans="2:44" ht="14.4" customHeight="1">
      <c r="B35" s="10"/>
      <c r="C35" s="474" t="s">
        <v>130</v>
      </c>
      <c r="D35" s="749" t="str">
        <f>IF(ISBLANK('5_gaerdiagramm'!AC7),"",'5_gaerdiagramm'!AC7+41)</f>
        <v/>
      </c>
      <c r="E35" s="753"/>
      <c r="F35" s="754"/>
      <c r="G35" s="755"/>
      <c r="H35" s="147"/>
      <c r="AR35" s="11"/>
    </row>
    <row r="36" spans="2:44" ht="14.4" customHeight="1">
      <c r="B36" s="10"/>
      <c r="C36" s="474" t="s">
        <v>131</v>
      </c>
      <c r="D36" s="749" t="str">
        <f>IF(ISBLANK('5_gaerdiagramm'!AC7),"",'5_gaerdiagramm'!AC7+43)</f>
        <v/>
      </c>
      <c r="E36" s="753"/>
      <c r="F36" s="754"/>
      <c r="G36" s="755"/>
      <c r="H36" s="147"/>
      <c r="AR36" s="11"/>
    </row>
    <row r="37" spans="2:44" ht="14.4" customHeight="1">
      <c r="B37" s="10"/>
      <c r="C37" s="474" t="s">
        <v>132</v>
      </c>
      <c r="D37" s="749" t="str">
        <f>IF(ISBLANK('5_gaerdiagramm'!AC7),"",'5_gaerdiagramm'!AC7+45)</f>
        <v/>
      </c>
      <c r="E37" s="753"/>
      <c r="F37" s="754"/>
      <c r="G37" s="755"/>
      <c r="H37" s="147"/>
      <c r="AR37" s="11"/>
    </row>
    <row r="38" spans="2:44" ht="14.4" customHeight="1">
      <c r="B38" s="10"/>
      <c r="C38" s="474" t="s">
        <v>133</v>
      </c>
      <c r="D38" s="749" t="str">
        <f>IF(ISBLANK('5_gaerdiagramm'!AC7),"",'5_gaerdiagramm'!AC7+47)</f>
        <v/>
      </c>
      <c r="E38" s="753"/>
      <c r="F38" s="754"/>
      <c r="G38" s="755"/>
      <c r="H38" s="147"/>
      <c r="AR38" s="11"/>
    </row>
    <row r="39" spans="2:44" ht="14.4" customHeight="1">
      <c r="B39" s="10"/>
      <c r="C39" s="474" t="s">
        <v>134</v>
      </c>
      <c r="D39" s="749" t="str">
        <f>IF(ISBLANK('5_gaerdiagramm'!AC7),"",'5_gaerdiagramm'!AC7+49)</f>
        <v/>
      </c>
      <c r="E39" s="753"/>
      <c r="F39" s="754"/>
      <c r="G39" s="755"/>
      <c r="H39" s="147"/>
      <c r="AR39" s="11"/>
    </row>
    <row r="40" spans="2:44" ht="14.4" customHeight="1">
      <c r="B40" s="10"/>
      <c r="C40" s="474" t="s">
        <v>847</v>
      </c>
      <c r="D40" s="749" t="str">
        <f>IF(ISBLANK('5_gaerdiagramm'!AC7),"",'5_gaerdiagramm'!AC7+51)</f>
        <v/>
      </c>
      <c r="E40" s="753"/>
      <c r="F40" s="754"/>
      <c r="G40" s="755"/>
      <c r="H40" s="147"/>
      <c r="AR40" s="11"/>
    </row>
    <row r="41" spans="2:44" ht="14.4" customHeight="1">
      <c r="B41" s="10"/>
      <c r="C41" s="475" t="s">
        <v>848</v>
      </c>
      <c r="D41" s="749" t="str">
        <f>IF(ISBLANK('5_gaerdiagramm'!AC7),"",'5_gaerdiagramm'!AC7+53)</f>
        <v/>
      </c>
      <c r="E41" s="753"/>
      <c r="F41" s="754"/>
      <c r="G41" s="755"/>
      <c r="H41" s="147"/>
      <c r="AR41" s="11"/>
    </row>
    <row r="42" spans="2:44" ht="4.5" customHeight="1" thickBot="1">
      <c r="B42" s="12"/>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5"/>
    </row>
    <row r="43" spans="2:44" ht="15" customHeight="1"/>
    <row r="44" spans="2:44" ht="15" customHeight="1">
      <c r="H44" s="132"/>
    </row>
  </sheetData>
  <sheetProtection sheet="1" selectLockedCells="1"/>
  <mergeCells count="22">
    <mergeCell ref="E6:F6"/>
    <mergeCell ref="Y7:AA7"/>
    <mergeCell ref="AL6:AQ6"/>
    <mergeCell ref="AL7:AQ7"/>
    <mergeCell ref="I6:S6"/>
    <mergeCell ref="Y6:AA6"/>
    <mergeCell ref="R7:S7"/>
    <mergeCell ref="AD7:AE7"/>
    <mergeCell ref="AD6:AE6"/>
    <mergeCell ref="J11:L11"/>
    <mergeCell ref="O11:Q11"/>
    <mergeCell ref="AB8:AI8"/>
    <mergeCell ref="AA11:AB11"/>
    <mergeCell ref="AL11:AO11"/>
    <mergeCell ref="AK8:AO8"/>
    <mergeCell ref="U8:V8"/>
    <mergeCell ref="L8:S8"/>
    <mergeCell ref="AV2:AV3"/>
    <mergeCell ref="AT2:AT3"/>
    <mergeCell ref="H2:AD3"/>
    <mergeCell ref="AL2:AR2"/>
    <mergeCell ref="AL3:AR3"/>
  </mergeCells>
  <conditionalFormatting sqref="E6 I6 E7:E8 G7 R7 U8 Y6:AA7 AD6:AE7 AL6:AQ7 AK8 AL11 AA11 W11 O11 J11 G11 E11 D15:G41">
    <cfRule type="notContainsBlanks" dxfId="14" priority="9">
      <formula>LEN(TRIM(D6))&gt;0</formula>
    </cfRule>
  </conditionalFormatting>
  <conditionalFormatting sqref="I8 Y8">
    <cfRule type="cellIs" dxfId="13" priority="8" operator="greaterThan">
      <formula>0</formula>
    </cfRule>
  </conditionalFormatting>
  <conditionalFormatting sqref="L8 AB8">
    <cfRule type="containsText" dxfId="12" priority="7" operator="containsText" text="&lt;Hopfensorte wählen&gt;">
      <formula>NOT(ISERROR(SEARCH("&lt;Hopfensorte wählen&gt;",L8)))</formula>
    </cfRule>
  </conditionalFormatting>
  <conditionalFormatting sqref="G8">
    <cfRule type="beginsWith" dxfId="11" priority="6" operator="beginsWith" text="0">
      <formula>LEFT(G8,LEN("0"))="0"</formula>
    </cfRule>
  </conditionalFormatting>
  <conditionalFormatting sqref="I8">
    <cfRule type="expression" dxfId="10" priority="4">
      <formula>$L$8=""</formula>
    </cfRule>
  </conditionalFormatting>
  <conditionalFormatting sqref="Y8">
    <cfRule type="expression" dxfId="9" priority="3">
      <formula>$AB$8=""</formula>
    </cfRule>
  </conditionalFormatting>
  <conditionalFormatting sqref="U8:V8">
    <cfRule type="expression" dxfId="8" priority="2">
      <formula>$L$8=""</formula>
    </cfRule>
  </conditionalFormatting>
  <conditionalFormatting sqref="AK8:AO8">
    <cfRule type="expression" dxfId="7" priority="1">
      <formula>$AB$8=""</formula>
    </cfRule>
  </conditionalFormatting>
  <conditionalFormatting sqref="F8:AQ8">
    <cfRule type="expression" dxfId="6" priority="5">
      <formula>$E8=""</formula>
    </cfRule>
  </conditionalFormatting>
  <hyperlinks>
    <hyperlink ref="AV2" location="'7_verkostungsbogen'!S13" tooltip="Weiter zum Verkostungsbogen" display="ð" xr:uid="{00000000-0004-0000-0A00-000000000000}"/>
    <hyperlink ref="AT2" location="'5_gaerdiagramm'!AC8" tooltip="zurück zum Gärdiagramm" display="ï" xr:uid="{00000000-0004-0000-0A00-000001000000}"/>
    <hyperlink ref="AU2" location="start!A1" tooltip="zur Startseite" display="ñ" xr:uid="{00000000-0004-0000-0A00-000002000000}"/>
  </hyperlinks>
  <printOptions horizontalCentered="1"/>
  <pageMargins left="0.70866141732283472" right="0.70866141732283472" top="0.59055118110236227" bottom="0.59055118110236227" header="0.31496062992125984" footer="0.31496062992125984"/>
  <pageSetup paperSize="9" orientation="landscape" r:id="rId1"/>
  <headerFooter>
    <oddFooter>&amp;R&amp;"Arial,Fett"www.bierbrauerei.net</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dimension ref="B1:BA69"/>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Q2" sqref="AQ2:AQ3"/>
    </sheetView>
  </sheetViews>
  <sheetFormatPr baseColWidth="10" defaultColWidth="2.88671875" defaultRowHeight="15" customHeight="1"/>
  <cols>
    <col min="1" max="1" width="1.109375" style="51" customWidth="1"/>
    <col min="2" max="2" width="0.6640625" style="51" customWidth="1"/>
    <col min="3" max="3" width="0.44140625" style="51" customWidth="1"/>
    <col min="4" max="18" width="2.88671875" style="51" customWidth="1"/>
    <col min="19" max="19" width="0.6640625" style="51" customWidth="1"/>
    <col min="20" max="20" width="0.88671875" style="51" customWidth="1"/>
    <col min="21" max="21" width="2.88671875" style="51" customWidth="1"/>
    <col min="22" max="22" width="2.5546875" style="51" customWidth="1"/>
    <col min="23" max="25" width="0.88671875" style="51" customWidth="1"/>
    <col min="26" max="26" width="1.33203125" style="51" customWidth="1"/>
    <col min="27" max="37" width="2.88671875" style="51" customWidth="1"/>
    <col min="38" max="38" width="0.88671875" style="51" customWidth="1"/>
    <col min="39" max="39" width="0.6640625" style="51" customWidth="1"/>
    <col min="40" max="40" width="2.88671875" style="51" customWidth="1"/>
    <col min="41" max="43" width="3.109375" style="51" customWidth="1"/>
    <col min="44" max="45" width="2.88671875" style="51" customWidth="1"/>
    <col min="46" max="47" width="2.88671875" style="51"/>
    <col min="48" max="48" width="7.6640625" style="51" hidden="1" customWidth="1"/>
    <col min="49" max="16384" width="2.88671875" style="51"/>
  </cols>
  <sheetData>
    <row r="1" spans="2:53" ht="6" customHeight="1" thickBot="1"/>
    <row r="2" spans="2:53" ht="15" customHeight="1">
      <c r="B2" s="201"/>
      <c r="C2" s="200"/>
      <c r="D2" s="200"/>
      <c r="E2" s="200"/>
      <c r="F2" s="200"/>
      <c r="G2" s="200"/>
      <c r="H2" s="200"/>
      <c r="I2" s="200"/>
      <c r="J2" s="199"/>
      <c r="K2" s="885" t="s">
        <v>712</v>
      </c>
      <c r="L2" s="886"/>
      <c r="M2" s="886"/>
      <c r="N2" s="886"/>
      <c r="O2" s="886"/>
      <c r="P2" s="886"/>
      <c r="Q2" s="886"/>
      <c r="R2" s="886"/>
      <c r="S2" s="886"/>
      <c r="T2" s="886"/>
      <c r="U2" s="886"/>
      <c r="V2" s="886"/>
      <c r="W2" s="886"/>
      <c r="X2" s="886"/>
      <c r="Y2" s="886"/>
      <c r="Z2" s="886"/>
      <c r="AA2" s="886"/>
      <c r="AB2" s="886"/>
      <c r="AC2" s="886"/>
      <c r="AD2" s="886"/>
      <c r="AE2" s="886"/>
      <c r="AF2" s="312"/>
      <c r="AG2" s="52"/>
      <c r="AH2" s="854" t="s">
        <v>15</v>
      </c>
      <c r="AI2" s="883">
        <f>rechenfibel!AD2</f>
        <v>43590</v>
      </c>
      <c r="AJ2" s="981"/>
      <c r="AK2" s="981"/>
      <c r="AL2" s="981"/>
      <c r="AM2" s="982"/>
      <c r="AO2" s="877" t="s">
        <v>246</v>
      </c>
      <c r="AP2" s="439" t="s">
        <v>832</v>
      </c>
      <c r="AQ2" s="879" t="s">
        <v>242</v>
      </c>
    </row>
    <row r="3" spans="2:53" ht="15" customHeight="1" thickBot="1">
      <c r="B3" s="284"/>
      <c r="C3" s="198"/>
      <c r="D3" s="198"/>
      <c r="E3" s="216"/>
      <c r="F3" s="216"/>
      <c r="G3" s="285"/>
      <c r="H3" s="198"/>
      <c r="I3" s="198"/>
      <c r="J3" s="197"/>
      <c r="K3" s="888"/>
      <c r="L3" s="889"/>
      <c r="M3" s="889"/>
      <c r="N3" s="889"/>
      <c r="O3" s="889"/>
      <c r="P3" s="889"/>
      <c r="Q3" s="889"/>
      <c r="R3" s="889"/>
      <c r="S3" s="889"/>
      <c r="T3" s="889"/>
      <c r="U3" s="889"/>
      <c r="V3" s="889"/>
      <c r="W3" s="889"/>
      <c r="X3" s="889"/>
      <c r="Y3" s="889"/>
      <c r="Z3" s="889"/>
      <c r="AA3" s="889"/>
      <c r="AB3" s="889"/>
      <c r="AC3" s="889"/>
      <c r="AD3" s="889"/>
      <c r="AE3" s="889"/>
      <c r="AF3" s="313"/>
      <c r="AG3" s="56"/>
      <c r="AH3" s="56" t="s">
        <v>22</v>
      </c>
      <c r="AI3" s="906">
        <f>rechenfibel!AD3</f>
        <v>43556</v>
      </c>
      <c r="AJ3" s="906"/>
      <c r="AK3" s="906"/>
      <c r="AL3" s="906"/>
      <c r="AM3" s="907"/>
      <c r="AO3" s="878"/>
      <c r="AP3" s="441"/>
      <c r="AQ3" s="880"/>
    </row>
    <row r="4" spans="2:53" ht="3.75" customHeight="1" thickBot="1">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row>
    <row r="5" spans="2:53" ht="6" customHeight="1">
      <c r="B5" s="310"/>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311"/>
    </row>
    <row r="6" spans="2:53" ht="4.2" customHeight="1">
      <c r="B6" s="60"/>
      <c r="C6" s="177"/>
      <c r="D6" s="164"/>
      <c r="E6" s="164"/>
      <c r="F6" s="164"/>
      <c r="G6" s="164"/>
      <c r="H6" s="164"/>
      <c r="I6" s="164"/>
      <c r="J6" s="164"/>
      <c r="K6" s="164"/>
      <c r="L6" s="164"/>
      <c r="M6" s="164"/>
      <c r="N6" s="164"/>
      <c r="O6" s="164"/>
      <c r="P6" s="164"/>
      <c r="Q6" s="164"/>
      <c r="R6" s="164"/>
      <c r="S6" s="164"/>
      <c r="T6" s="164"/>
      <c r="U6" s="164"/>
      <c r="V6" s="164"/>
      <c r="W6" s="176"/>
      <c r="Y6" s="177"/>
      <c r="Z6" s="164"/>
      <c r="AA6" s="164"/>
      <c r="AB6" s="164"/>
      <c r="AC6" s="164"/>
      <c r="AD6" s="164"/>
      <c r="AE6" s="164"/>
      <c r="AF6" s="164"/>
      <c r="AG6" s="164"/>
      <c r="AH6" s="164"/>
      <c r="AI6" s="164"/>
      <c r="AJ6" s="164"/>
      <c r="AK6" s="164"/>
      <c r="AL6" s="176"/>
      <c r="AM6" s="62"/>
    </row>
    <row r="7" spans="2:53" ht="12.75" customHeight="1">
      <c r="B7" s="60"/>
      <c r="C7" s="91"/>
      <c r="D7" s="1112" t="str">
        <f>IF(ISBLANK('3_rezeptkarte'!C6),"",'3_rezeptkarte'!C6)</f>
        <v/>
      </c>
      <c r="E7" s="1112"/>
      <c r="F7" s="1112"/>
      <c r="G7" s="1112"/>
      <c r="H7" s="1112"/>
      <c r="I7" s="1112"/>
      <c r="J7" s="1112"/>
      <c r="K7" s="1112"/>
      <c r="L7" s="1112"/>
      <c r="M7" s="56"/>
      <c r="N7" s="56" t="s">
        <v>55</v>
      </c>
      <c r="O7" s="1111" t="str">
        <f>'4a_sud-journal'!AB6</f>
        <v>Bitte wählen!</v>
      </c>
      <c r="P7" s="1111"/>
      <c r="Q7" s="1111"/>
      <c r="R7" s="1111"/>
      <c r="S7" s="1111"/>
      <c r="T7" s="1111"/>
      <c r="U7" s="1111"/>
      <c r="V7" s="1111"/>
      <c r="W7" s="83"/>
      <c r="X7" s="61"/>
      <c r="Y7" s="91"/>
      <c r="Z7" s="1102" t="s">
        <v>704</v>
      </c>
      <c r="AA7" s="1103"/>
      <c r="AB7" s="1103"/>
      <c r="AC7" s="1103"/>
      <c r="AD7" s="1103"/>
      <c r="AE7" s="1103"/>
      <c r="AF7" s="1103"/>
      <c r="AG7" s="1103"/>
      <c r="AH7" s="1103"/>
      <c r="AI7" s="1103"/>
      <c r="AJ7" s="1103"/>
      <c r="AK7" s="1104"/>
      <c r="AL7" s="83"/>
      <c r="AM7" s="62"/>
    </row>
    <row r="8" spans="2:53" s="77" customFormat="1" ht="6.75" customHeight="1">
      <c r="B8" s="71"/>
      <c r="C8" s="73"/>
      <c r="D8" s="72"/>
      <c r="E8" s="72"/>
      <c r="F8" s="74"/>
      <c r="G8" s="72"/>
      <c r="H8" s="72"/>
      <c r="I8" s="72"/>
      <c r="J8" s="72"/>
      <c r="K8" s="72"/>
      <c r="L8" s="72"/>
      <c r="M8" s="72"/>
      <c r="N8" s="72"/>
      <c r="O8" s="72"/>
      <c r="P8" s="72"/>
      <c r="Q8" s="72"/>
      <c r="R8" s="72"/>
      <c r="S8" s="72"/>
      <c r="T8" s="72"/>
      <c r="U8" s="72"/>
      <c r="V8" s="61"/>
      <c r="W8" s="83"/>
      <c r="X8" s="61"/>
      <c r="Y8" s="91"/>
      <c r="Z8" s="1105"/>
      <c r="AA8" s="1106"/>
      <c r="AB8" s="1106"/>
      <c r="AC8" s="1106"/>
      <c r="AD8" s="1106"/>
      <c r="AE8" s="1106"/>
      <c r="AF8" s="1106"/>
      <c r="AG8" s="1106"/>
      <c r="AH8" s="1106"/>
      <c r="AI8" s="1106"/>
      <c r="AJ8" s="1106"/>
      <c r="AK8" s="1107"/>
      <c r="AL8" s="83"/>
      <c r="AM8" s="76"/>
    </row>
    <row r="9" spans="2:53" s="77" customFormat="1" ht="12.6" customHeight="1">
      <c r="B9" s="71"/>
      <c r="C9" s="73"/>
      <c r="D9" s="72"/>
      <c r="E9" s="72"/>
      <c r="F9" s="56" t="s">
        <v>70</v>
      </c>
      <c r="G9" s="1113" t="str">
        <f>IF(ISBLANK('1_vorbereitung'!F6),"",'1_vorbereitung'!F6)</f>
        <v/>
      </c>
      <c r="H9" s="1113"/>
      <c r="I9" s="1113"/>
      <c r="J9" s="72"/>
      <c r="K9" s="56"/>
      <c r="L9" s="72"/>
      <c r="M9" s="72"/>
      <c r="N9" s="56" t="s">
        <v>0</v>
      </c>
      <c r="O9" s="1112" t="str">
        <f>IF(ISBLANK('1_vorbereitung'!M6),"",'1_vorbereitung'!M6)</f>
        <v/>
      </c>
      <c r="P9" s="1112"/>
      <c r="Q9" s="1112"/>
      <c r="R9" s="61"/>
      <c r="S9" s="72"/>
      <c r="T9" s="72"/>
      <c r="U9" s="72"/>
      <c r="V9" s="61"/>
      <c r="W9" s="83"/>
      <c r="X9" s="61"/>
      <c r="Y9" s="91"/>
      <c r="Z9" s="1105"/>
      <c r="AA9" s="1106"/>
      <c r="AB9" s="1106"/>
      <c r="AC9" s="1106"/>
      <c r="AD9" s="1106"/>
      <c r="AE9" s="1106"/>
      <c r="AF9" s="1106"/>
      <c r="AG9" s="1106"/>
      <c r="AH9" s="1106"/>
      <c r="AI9" s="1106"/>
      <c r="AJ9" s="1106"/>
      <c r="AK9" s="1107"/>
      <c r="AL9" s="83"/>
      <c r="AM9" s="76"/>
    </row>
    <row r="10" spans="2:53" s="77" customFormat="1" ht="6.75" customHeight="1">
      <c r="B10" s="71"/>
      <c r="C10" s="73"/>
      <c r="D10" s="72"/>
      <c r="E10" s="72"/>
      <c r="F10" s="72"/>
      <c r="G10" s="74"/>
      <c r="H10" s="72"/>
      <c r="I10" s="72"/>
      <c r="J10" s="72"/>
      <c r="K10" s="72"/>
      <c r="L10" s="72"/>
      <c r="M10" s="72"/>
      <c r="N10" s="72"/>
      <c r="O10" s="72"/>
      <c r="P10" s="72"/>
      <c r="Q10" s="72"/>
      <c r="R10" s="72"/>
      <c r="S10" s="72"/>
      <c r="T10" s="72"/>
      <c r="U10" s="72"/>
      <c r="V10" s="61"/>
      <c r="W10" s="83"/>
      <c r="X10" s="61"/>
      <c r="Y10" s="91"/>
      <c r="Z10" s="1105"/>
      <c r="AA10" s="1106"/>
      <c r="AB10" s="1106"/>
      <c r="AC10" s="1106"/>
      <c r="AD10" s="1106"/>
      <c r="AE10" s="1106"/>
      <c r="AF10" s="1106"/>
      <c r="AG10" s="1106"/>
      <c r="AH10" s="1106"/>
      <c r="AI10" s="1106"/>
      <c r="AJ10" s="1106"/>
      <c r="AK10" s="1107"/>
      <c r="AL10" s="83"/>
      <c r="AM10" s="76"/>
    </row>
    <row r="11" spans="2:53" s="77" customFormat="1" ht="12.75" customHeight="1">
      <c r="B11" s="71"/>
      <c r="C11" s="73"/>
      <c r="D11" s="72"/>
      <c r="E11" s="72"/>
      <c r="F11" s="82" t="s">
        <v>238</v>
      </c>
      <c r="G11" s="870" t="str">
        <f>'5_gaerdiagramm'!F38</f>
        <v/>
      </c>
      <c r="H11" s="870"/>
      <c r="I11" s="565" t="s">
        <v>163</v>
      </c>
      <c r="J11" s="72"/>
      <c r="K11" s="72"/>
      <c r="L11" s="72"/>
      <c r="M11" s="72"/>
      <c r="N11" s="82"/>
      <c r="O11" s="82" t="s">
        <v>101</v>
      </c>
      <c r="P11" s="1114" t="str">
        <f>'4a_sud-journal'!V79</f>
        <v/>
      </c>
      <c r="Q11" s="1114"/>
      <c r="R11" s="61" t="s">
        <v>39</v>
      </c>
      <c r="S11" s="61"/>
      <c r="T11" s="72"/>
      <c r="U11" s="72"/>
      <c r="V11" s="61"/>
      <c r="W11" s="83"/>
      <c r="X11" s="61"/>
      <c r="Y11" s="91"/>
      <c r="Z11" s="1105"/>
      <c r="AA11" s="1106"/>
      <c r="AB11" s="1106"/>
      <c r="AC11" s="1106"/>
      <c r="AD11" s="1106"/>
      <c r="AE11" s="1106"/>
      <c r="AF11" s="1106"/>
      <c r="AG11" s="1106"/>
      <c r="AH11" s="1106"/>
      <c r="AI11" s="1106"/>
      <c r="AJ11" s="1106"/>
      <c r="AK11" s="1107"/>
      <c r="AL11" s="83"/>
      <c r="AM11" s="76"/>
    </row>
    <row r="12" spans="2:53" s="77" customFormat="1" ht="6.75" customHeight="1">
      <c r="B12" s="71"/>
      <c r="C12" s="73"/>
      <c r="D12" s="72"/>
      <c r="E12" s="72"/>
      <c r="F12" s="72"/>
      <c r="G12" s="74"/>
      <c r="H12" s="72"/>
      <c r="I12" s="72"/>
      <c r="J12" s="72"/>
      <c r="K12" s="72"/>
      <c r="L12" s="72"/>
      <c r="M12" s="72"/>
      <c r="N12" s="72"/>
      <c r="O12" s="72"/>
      <c r="P12" s="72"/>
      <c r="Q12" s="72"/>
      <c r="R12" s="72"/>
      <c r="S12" s="72"/>
      <c r="T12" s="72"/>
      <c r="U12" s="72"/>
      <c r="V12" s="61"/>
      <c r="W12" s="83"/>
      <c r="X12" s="61"/>
      <c r="Y12" s="91"/>
      <c r="Z12" s="1105"/>
      <c r="AA12" s="1106"/>
      <c r="AB12" s="1106"/>
      <c r="AC12" s="1106"/>
      <c r="AD12" s="1106"/>
      <c r="AE12" s="1106"/>
      <c r="AF12" s="1106"/>
      <c r="AG12" s="1106"/>
      <c r="AH12" s="1106"/>
      <c r="AI12" s="1106"/>
      <c r="AJ12" s="1106"/>
      <c r="AK12" s="1107"/>
      <c r="AL12" s="83"/>
      <c r="AM12" s="76"/>
    </row>
    <row r="13" spans="2:53" ht="12.75" customHeight="1">
      <c r="B13" s="60"/>
      <c r="C13" s="292"/>
      <c r="D13" s="148"/>
      <c r="E13" s="148"/>
      <c r="F13" s="82" t="s">
        <v>162</v>
      </c>
      <c r="G13" s="951" t="str">
        <f>'3_rezeptkarte'!M18</f>
        <v/>
      </c>
      <c r="H13" s="951"/>
      <c r="I13" s="61" t="s">
        <v>50</v>
      </c>
      <c r="J13" s="72"/>
      <c r="K13" s="61"/>
      <c r="L13" s="566" t="s">
        <v>164</v>
      </c>
      <c r="M13" s="951" t="str">
        <f>'3_rezeptkarte'!$AD$70</f>
        <v/>
      </c>
      <c r="N13" s="1126"/>
      <c r="O13" s="81" t="s">
        <v>29</v>
      </c>
      <c r="P13" s="81"/>
      <c r="Q13" s="82"/>
      <c r="R13" s="82" t="s">
        <v>878</v>
      </c>
      <c r="S13" s="971"/>
      <c r="T13" s="971"/>
      <c r="U13" s="971"/>
      <c r="V13" s="61" t="s">
        <v>816</v>
      </c>
      <c r="W13" s="83"/>
      <c r="X13" s="61"/>
      <c r="Y13" s="91"/>
      <c r="Z13" s="1105"/>
      <c r="AA13" s="1106"/>
      <c r="AB13" s="1106"/>
      <c r="AC13" s="1106"/>
      <c r="AD13" s="1106"/>
      <c r="AE13" s="1106"/>
      <c r="AF13" s="1106"/>
      <c r="AG13" s="1106"/>
      <c r="AH13" s="1106"/>
      <c r="AI13" s="1106"/>
      <c r="AJ13" s="1106"/>
      <c r="AK13" s="1107"/>
      <c r="AL13" s="83"/>
      <c r="AM13" s="62"/>
      <c r="AV13" s="286" t="s">
        <v>787</v>
      </c>
    </row>
    <row r="14" spans="2:53" ht="6.75" customHeight="1">
      <c r="B14" s="60"/>
      <c r="C14" s="91"/>
      <c r="D14" s="61"/>
      <c r="E14" s="61"/>
      <c r="F14" s="82"/>
      <c r="G14" s="61"/>
      <c r="H14" s="61"/>
      <c r="I14" s="61"/>
      <c r="J14" s="61"/>
      <c r="K14" s="61"/>
      <c r="L14" s="61"/>
      <c r="M14" s="61"/>
      <c r="N14" s="61"/>
      <c r="O14" s="61"/>
      <c r="P14" s="61"/>
      <c r="Q14" s="61"/>
      <c r="R14" s="61"/>
      <c r="S14" s="61"/>
      <c r="T14" s="61"/>
      <c r="U14" s="72"/>
      <c r="V14" s="61"/>
      <c r="W14" s="83"/>
      <c r="X14" s="61"/>
      <c r="Y14" s="91"/>
      <c r="Z14" s="1105"/>
      <c r="AA14" s="1106"/>
      <c r="AB14" s="1106"/>
      <c r="AC14" s="1106"/>
      <c r="AD14" s="1106"/>
      <c r="AE14" s="1106"/>
      <c r="AF14" s="1106"/>
      <c r="AG14" s="1106"/>
      <c r="AH14" s="1106"/>
      <c r="AI14" s="1106"/>
      <c r="AJ14" s="1106"/>
      <c r="AK14" s="1107"/>
      <c r="AL14" s="83"/>
      <c r="AM14" s="62"/>
      <c r="AV14" s="287" t="s">
        <v>346</v>
      </c>
    </row>
    <row r="15" spans="2:53" ht="12.75" customHeight="1">
      <c r="B15" s="60"/>
      <c r="C15" s="91"/>
      <c r="D15" s="61"/>
      <c r="E15" s="82"/>
      <c r="F15" s="82" t="s">
        <v>705</v>
      </c>
      <c r="G15" s="1117" t="str">
        <f>CONCATENATE(AV14,'3_rezeptkarte'!AU19,'3_rezeptkarte'!AU20,'3_rezeptkarte'!AU21,'3_rezeptkarte'!AU22,'3_rezeptkarte'!AU23,'3_rezeptkarte'!AU24,AV15,'3_rezeptkarte'!AV73,'3_rezeptkarte'!AU56,'3_rezeptkarte'!AU59,'3_rezeptkarte'!AU62,'3_rezeptkarte'!AU65,'3_rezeptkarte'!AU68,'3_rezeptkarte'!AV79,'3_rezeptkarte'!AV78,'3_rezeptkarte'!AW78,AV16,'3_rezeptkarte'!L74," ","Hefe ",'3_rezeptkarte'!T74)</f>
        <v xml:space="preserve">Brauwasser, Hopfen (), bitte wählen Hefe </v>
      </c>
      <c r="H15" s="1118"/>
      <c r="I15" s="1118"/>
      <c r="J15" s="1118"/>
      <c r="K15" s="1118"/>
      <c r="L15" s="1118"/>
      <c r="M15" s="1118"/>
      <c r="N15" s="1118"/>
      <c r="O15" s="1118"/>
      <c r="P15" s="1118"/>
      <c r="Q15" s="1118"/>
      <c r="R15" s="1118"/>
      <c r="S15" s="1118"/>
      <c r="T15" s="1118"/>
      <c r="U15" s="1118"/>
      <c r="V15" s="1119"/>
      <c r="W15" s="83"/>
      <c r="X15" s="61"/>
      <c r="Y15" s="91"/>
      <c r="Z15" s="1105"/>
      <c r="AA15" s="1106"/>
      <c r="AB15" s="1106"/>
      <c r="AC15" s="1106"/>
      <c r="AD15" s="1106"/>
      <c r="AE15" s="1106"/>
      <c r="AF15" s="1106"/>
      <c r="AG15" s="1106"/>
      <c r="AH15" s="1106"/>
      <c r="AI15" s="1106"/>
      <c r="AJ15" s="1106"/>
      <c r="AK15" s="1107"/>
      <c r="AL15" s="83"/>
      <c r="AM15" s="62"/>
      <c r="AV15" s="287" t="s">
        <v>348</v>
      </c>
    </row>
    <row r="16" spans="2:53" ht="12.75" customHeight="1">
      <c r="B16" s="60"/>
      <c r="C16" s="292"/>
      <c r="D16" s="148"/>
      <c r="E16" s="289"/>
      <c r="F16" s="289"/>
      <c r="G16" s="1120"/>
      <c r="H16" s="1121"/>
      <c r="I16" s="1121"/>
      <c r="J16" s="1121"/>
      <c r="K16" s="1121"/>
      <c r="L16" s="1121"/>
      <c r="M16" s="1121"/>
      <c r="N16" s="1121"/>
      <c r="O16" s="1121"/>
      <c r="P16" s="1121"/>
      <c r="Q16" s="1121"/>
      <c r="R16" s="1121"/>
      <c r="S16" s="1121"/>
      <c r="T16" s="1121"/>
      <c r="U16" s="1121"/>
      <c r="V16" s="1122"/>
      <c r="W16" s="83"/>
      <c r="X16" s="61"/>
      <c r="Y16" s="91"/>
      <c r="Z16" s="1105"/>
      <c r="AA16" s="1106"/>
      <c r="AB16" s="1106"/>
      <c r="AC16" s="1106"/>
      <c r="AD16" s="1106"/>
      <c r="AE16" s="1106"/>
      <c r="AF16" s="1106"/>
      <c r="AG16" s="1106"/>
      <c r="AH16" s="1106"/>
      <c r="AI16" s="1106"/>
      <c r="AJ16" s="1106"/>
      <c r="AK16" s="1107"/>
      <c r="AL16" s="83"/>
      <c r="AM16" s="62"/>
      <c r="AP16" s="325"/>
      <c r="AQ16" s="325"/>
      <c r="AR16" s="325"/>
      <c r="AS16" s="325"/>
      <c r="AT16" s="325"/>
      <c r="AU16" s="325"/>
      <c r="AV16" s="288" t="s">
        <v>347</v>
      </c>
      <c r="AW16" s="325"/>
      <c r="AX16" s="325"/>
      <c r="AY16" s="325"/>
      <c r="AZ16" s="325"/>
      <c r="BA16" s="325"/>
    </row>
    <row r="17" spans="2:53" ht="12.75" customHeight="1">
      <c r="B17" s="60"/>
      <c r="C17" s="292"/>
      <c r="D17" s="148"/>
      <c r="E17" s="289"/>
      <c r="F17" s="289"/>
      <c r="G17" s="1120"/>
      <c r="H17" s="1121"/>
      <c r="I17" s="1121"/>
      <c r="J17" s="1121"/>
      <c r="K17" s="1121"/>
      <c r="L17" s="1121"/>
      <c r="M17" s="1121"/>
      <c r="N17" s="1121"/>
      <c r="O17" s="1121"/>
      <c r="P17" s="1121"/>
      <c r="Q17" s="1121"/>
      <c r="R17" s="1121"/>
      <c r="S17" s="1121"/>
      <c r="T17" s="1121"/>
      <c r="U17" s="1121"/>
      <c r="V17" s="1122"/>
      <c r="W17" s="83"/>
      <c r="X17" s="61"/>
      <c r="Y17" s="91"/>
      <c r="Z17" s="1105"/>
      <c r="AA17" s="1106"/>
      <c r="AB17" s="1106"/>
      <c r="AC17" s="1106"/>
      <c r="AD17" s="1106"/>
      <c r="AE17" s="1106"/>
      <c r="AF17" s="1106"/>
      <c r="AG17" s="1106"/>
      <c r="AH17" s="1106"/>
      <c r="AI17" s="1106"/>
      <c r="AJ17" s="1106"/>
      <c r="AK17" s="1107"/>
      <c r="AL17" s="83"/>
      <c r="AM17" s="62"/>
      <c r="AP17" s="325"/>
      <c r="AQ17" s="325"/>
      <c r="AR17" s="325"/>
      <c r="AS17" s="325"/>
      <c r="AT17" s="325"/>
      <c r="AU17" s="325"/>
      <c r="AV17" s="325"/>
      <c r="AW17" s="325"/>
      <c r="AX17" s="325"/>
      <c r="AY17" s="325"/>
      <c r="AZ17" s="325"/>
      <c r="BA17" s="325"/>
    </row>
    <row r="18" spans="2:53" ht="12.75" customHeight="1">
      <c r="B18" s="60"/>
      <c r="C18" s="292"/>
      <c r="D18" s="61"/>
      <c r="E18" s="61"/>
      <c r="F18" s="61"/>
      <c r="G18" s="1120"/>
      <c r="H18" s="1121"/>
      <c r="I18" s="1121"/>
      <c r="J18" s="1121"/>
      <c r="K18" s="1121"/>
      <c r="L18" s="1121"/>
      <c r="M18" s="1121"/>
      <c r="N18" s="1121"/>
      <c r="O18" s="1121"/>
      <c r="P18" s="1121"/>
      <c r="Q18" s="1121"/>
      <c r="R18" s="1121"/>
      <c r="S18" s="1121"/>
      <c r="T18" s="1121"/>
      <c r="U18" s="1121"/>
      <c r="V18" s="1122"/>
      <c r="W18" s="83"/>
      <c r="X18" s="61"/>
      <c r="Y18" s="91"/>
      <c r="Z18" s="1105"/>
      <c r="AA18" s="1106"/>
      <c r="AB18" s="1106"/>
      <c r="AC18" s="1106"/>
      <c r="AD18" s="1106"/>
      <c r="AE18" s="1106"/>
      <c r="AF18" s="1106"/>
      <c r="AG18" s="1106"/>
      <c r="AH18" s="1106"/>
      <c r="AI18" s="1106"/>
      <c r="AJ18" s="1106"/>
      <c r="AK18" s="1107"/>
      <c r="AL18" s="83"/>
      <c r="AM18" s="62"/>
      <c r="AP18" s="325"/>
      <c r="AQ18" s="325"/>
      <c r="AR18" s="325"/>
      <c r="AS18" s="325"/>
      <c r="AT18" s="325"/>
      <c r="AU18" s="325"/>
      <c r="AV18" s="325"/>
      <c r="AW18" s="325"/>
      <c r="AX18" s="325"/>
      <c r="AY18" s="325"/>
      <c r="AZ18" s="325"/>
      <c r="BA18" s="325"/>
    </row>
    <row r="19" spans="2:53" ht="12.75" customHeight="1">
      <c r="B19" s="60"/>
      <c r="C19" s="292"/>
      <c r="D19" s="61"/>
      <c r="E19" s="61"/>
      <c r="F19" s="61"/>
      <c r="G19" s="1120"/>
      <c r="H19" s="1121"/>
      <c r="I19" s="1121"/>
      <c r="J19" s="1121"/>
      <c r="K19" s="1121"/>
      <c r="L19" s="1121"/>
      <c r="M19" s="1121"/>
      <c r="N19" s="1121"/>
      <c r="O19" s="1121"/>
      <c r="P19" s="1121"/>
      <c r="Q19" s="1121"/>
      <c r="R19" s="1121"/>
      <c r="S19" s="1121"/>
      <c r="T19" s="1121"/>
      <c r="U19" s="1121"/>
      <c r="V19" s="1122"/>
      <c r="W19" s="83"/>
      <c r="X19" s="61"/>
      <c r="Y19" s="91"/>
      <c r="Z19" s="1105"/>
      <c r="AA19" s="1106"/>
      <c r="AB19" s="1106"/>
      <c r="AC19" s="1106"/>
      <c r="AD19" s="1106"/>
      <c r="AE19" s="1106"/>
      <c r="AF19" s="1106"/>
      <c r="AG19" s="1106"/>
      <c r="AH19" s="1106"/>
      <c r="AI19" s="1106"/>
      <c r="AJ19" s="1106"/>
      <c r="AK19" s="1107"/>
      <c r="AL19" s="83"/>
      <c r="AM19" s="62"/>
      <c r="AP19" s="325"/>
      <c r="AQ19" s="325"/>
      <c r="AR19" s="325"/>
      <c r="AS19" s="325"/>
      <c r="AT19" s="325"/>
      <c r="AU19" s="325"/>
      <c r="AV19" s="325"/>
      <c r="AW19" s="325"/>
      <c r="AX19" s="325"/>
      <c r="AY19" s="325"/>
      <c r="AZ19" s="325"/>
      <c r="BA19" s="325"/>
    </row>
    <row r="20" spans="2:53" ht="12.75" customHeight="1">
      <c r="B20" s="60"/>
      <c r="C20" s="292"/>
      <c r="D20" s="61"/>
      <c r="E20" s="61"/>
      <c r="F20" s="61"/>
      <c r="G20" s="1123"/>
      <c r="H20" s="1124"/>
      <c r="I20" s="1124"/>
      <c r="J20" s="1124"/>
      <c r="K20" s="1124"/>
      <c r="L20" s="1124"/>
      <c r="M20" s="1124"/>
      <c r="N20" s="1124"/>
      <c r="O20" s="1124"/>
      <c r="P20" s="1124"/>
      <c r="Q20" s="1124"/>
      <c r="R20" s="1124"/>
      <c r="S20" s="1124"/>
      <c r="T20" s="1124"/>
      <c r="U20" s="1124"/>
      <c r="V20" s="1125"/>
      <c r="W20" s="83"/>
      <c r="X20" s="61"/>
      <c r="Y20" s="91"/>
      <c r="Z20" s="1105"/>
      <c r="AA20" s="1106"/>
      <c r="AB20" s="1106"/>
      <c r="AC20" s="1106"/>
      <c r="AD20" s="1106"/>
      <c r="AE20" s="1106"/>
      <c r="AF20" s="1106"/>
      <c r="AG20" s="1106"/>
      <c r="AH20" s="1106"/>
      <c r="AI20" s="1106"/>
      <c r="AJ20" s="1106"/>
      <c r="AK20" s="1107"/>
      <c r="AL20" s="83"/>
      <c r="AM20" s="62"/>
      <c r="AP20" s="325"/>
      <c r="AQ20" s="325"/>
      <c r="AR20" s="325"/>
      <c r="AS20" s="325"/>
      <c r="AT20" s="325"/>
      <c r="AU20" s="325"/>
      <c r="AV20" s="325"/>
      <c r="AW20" s="325"/>
      <c r="AX20" s="325"/>
      <c r="AY20" s="325"/>
      <c r="AZ20" s="325"/>
      <c r="BA20" s="325"/>
    </row>
    <row r="21" spans="2:53" ht="3.6" customHeight="1">
      <c r="B21" s="60"/>
      <c r="C21" s="293"/>
      <c r="D21" s="80"/>
      <c r="E21" s="80"/>
      <c r="F21" s="294"/>
      <c r="G21" s="294"/>
      <c r="H21" s="294"/>
      <c r="I21" s="294"/>
      <c r="J21" s="294"/>
      <c r="K21" s="294"/>
      <c r="L21" s="294"/>
      <c r="M21" s="294"/>
      <c r="N21" s="294"/>
      <c r="O21" s="294"/>
      <c r="P21" s="294"/>
      <c r="Q21" s="294"/>
      <c r="R21" s="294"/>
      <c r="S21" s="294"/>
      <c r="T21" s="294"/>
      <c r="U21" s="202"/>
      <c r="V21" s="295"/>
      <c r="W21" s="309"/>
      <c r="X21" s="148"/>
      <c r="Y21" s="292"/>
      <c r="Z21" s="1105"/>
      <c r="AA21" s="1106"/>
      <c r="AB21" s="1106"/>
      <c r="AC21" s="1106"/>
      <c r="AD21" s="1106"/>
      <c r="AE21" s="1106"/>
      <c r="AF21" s="1106"/>
      <c r="AG21" s="1106"/>
      <c r="AH21" s="1106"/>
      <c r="AI21" s="1106"/>
      <c r="AJ21" s="1106"/>
      <c r="AK21" s="1107"/>
      <c r="AL21" s="83"/>
      <c r="AM21" s="62"/>
      <c r="AP21" s="325"/>
      <c r="AQ21" s="325"/>
      <c r="AR21" s="325"/>
      <c r="AS21" s="325"/>
      <c r="AT21" s="325"/>
      <c r="AU21" s="325"/>
      <c r="AV21" s="325"/>
      <c r="AW21" s="325"/>
      <c r="AX21" s="325"/>
      <c r="AY21" s="325"/>
      <c r="AZ21" s="325"/>
      <c r="BA21" s="325"/>
    </row>
    <row r="22" spans="2:53" ht="4.5" customHeight="1">
      <c r="B22" s="60"/>
      <c r="C22" s="148"/>
      <c r="D22" s="61"/>
      <c r="E22" s="61"/>
      <c r="F22" s="290"/>
      <c r="G22" s="290"/>
      <c r="H22" s="290"/>
      <c r="I22" s="290"/>
      <c r="J22" s="290"/>
      <c r="K22" s="290"/>
      <c r="L22" s="290"/>
      <c r="M22" s="290"/>
      <c r="N22" s="290"/>
      <c r="O22" s="290"/>
      <c r="P22" s="290"/>
      <c r="Q22" s="290"/>
      <c r="R22" s="290"/>
      <c r="S22" s="290"/>
      <c r="T22" s="290"/>
      <c r="U22" s="72"/>
      <c r="V22" s="148"/>
      <c r="W22" s="148"/>
      <c r="X22" s="148"/>
      <c r="Y22" s="292"/>
      <c r="Z22" s="1105"/>
      <c r="AA22" s="1106"/>
      <c r="AB22" s="1106"/>
      <c r="AC22" s="1106"/>
      <c r="AD22" s="1106"/>
      <c r="AE22" s="1106"/>
      <c r="AF22" s="1106"/>
      <c r="AG22" s="1106"/>
      <c r="AH22" s="1106"/>
      <c r="AI22" s="1106"/>
      <c r="AJ22" s="1106"/>
      <c r="AK22" s="1107"/>
      <c r="AL22" s="302"/>
      <c r="AM22" s="62"/>
      <c r="AP22" s="325"/>
      <c r="AQ22" s="325"/>
      <c r="AR22" s="325"/>
      <c r="AS22" s="325"/>
      <c r="AT22" s="325"/>
      <c r="AU22" s="325"/>
      <c r="AV22" s="325"/>
      <c r="AW22" s="325"/>
      <c r="AX22" s="325"/>
      <c r="AY22" s="325"/>
      <c r="AZ22" s="325"/>
      <c r="BA22" s="325"/>
    </row>
    <row r="23" spans="2:53" ht="4.5" customHeight="1">
      <c r="B23" s="60"/>
      <c r="C23" s="296"/>
      <c r="D23" s="66"/>
      <c r="E23" s="66"/>
      <c r="F23" s="307"/>
      <c r="G23" s="307"/>
      <c r="H23" s="307"/>
      <c r="I23" s="307"/>
      <c r="J23" s="307"/>
      <c r="K23" s="307"/>
      <c r="L23" s="307"/>
      <c r="M23" s="307"/>
      <c r="N23" s="307"/>
      <c r="O23" s="307"/>
      <c r="P23" s="307"/>
      <c r="Q23" s="307"/>
      <c r="R23" s="307"/>
      <c r="S23" s="307"/>
      <c r="T23" s="307"/>
      <c r="U23" s="291"/>
      <c r="V23" s="149"/>
      <c r="W23" s="308"/>
      <c r="X23" s="148"/>
      <c r="Y23" s="292"/>
      <c r="Z23" s="1105"/>
      <c r="AA23" s="1106"/>
      <c r="AB23" s="1106"/>
      <c r="AC23" s="1106"/>
      <c r="AD23" s="1106"/>
      <c r="AE23" s="1106"/>
      <c r="AF23" s="1106"/>
      <c r="AG23" s="1106"/>
      <c r="AH23" s="1106"/>
      <c r="AI23" s="1106"/>
      <c r="AJ23" s="1106"/>
      <c r="AK23" s="1107"/>
      <c r="AL23" s="302"/>
      <c r="AM23" s="62"/>
      <c r="AP23" s="325"/>
      <c r="AQ23" s="325"/>
      <c r="AR23" s="325"/>
      <c r="AS23" s="325"/>
      <c r="AT23" s="325"/>
      <c r="AU23" s="325"/>
      <c r="AV23" s="325"/>
      <c r="AW23" s="325"/>
      <c r="AX23" s="325"/>
      <c r="AY23" s="325"/>
      <c r="AZ23" s="325"/>
      <c r="BA23" s="325"/>
    </row>
    <row r="24" spans="2:53" ht="12" customHeight="1">
      <c r="B24" s="60"/>
      <c r="C24" s="292"/>
      <c r="D24" s="61"/>
      <c r="E24" s="61"/>
      <c r="F24" s="290"/>
      <c r="G24" s="290"/>
      <c r="H24" s="82" t="s">
        <v>769</v>
      </c>
      <c r="I24" s="1115"/>
      <c r="J24" s="1115"/>
      <c r="K24" s="1115"/>
      <c r="L24" s="290"/>
      <c r="M24" s="290"/>
      <c r="N24" s="290"/>
      <c r="O24" s="306" t="s">
        <v>746</v>
      </c>
      <c r="P24" s="1116"/>
      <c r="Q24" s="1116"/>
      <c r="R24" s="1116"/>
      <c r="S24" s="1116"/>
      <c r="T24" s="1116"/>
      <c r="U24" s="1116"/>
      <c r="V24" s="1116"/>
      <c r="W24" s="320"/>
      <c r="X24" s="318"/>
      <c r="Y24" s="319"/>
      <c r="Z24" s="1108"/>
      <c r="AA24" s="1109"/>
      <c r="AB24" s="1109"/>
      <c r="AC24" s="1109"/>
      <c r="AD24" s="1109"/>
      <c r="AE24" s="1109"/>
      <c r="AF24" s="1109"/>
      <c r="AG24" s="1109"/>
      <c r="AH24" s="1109"/>
      <c r="AI24" s="1109"/>
      <c r="AJ24" s="1109"/>
      <c r="AK24" s="1110"/>
      <c r="AL24" s="302"/>
      <c r="AM24" s="62"/>
      <c r="AP24" s="325"/>
      <c r="AQ24" s="325"/>
      <c r="AR24" s="325"/>
      <c r="AS24" s="325"/>
      <c r="AT24" s="325"/>
      <c r="AU24" s="325"/>
      <c r="AV24" s="325"/>
      <c r="AW24" s="325"/>
      <c r="AX24" s="325"/>
      <c r="AY24" s="325"/>
      <c r="AZ24" s="325"/>
      <c r="BA24" s="325"/>
    </row>
    <row r="25" spans="2:53" ht="4.5" customHeight="1">
      <c r="B25" s="60"/>
      <c r="C25" s="293"/>
      <c r="D25" s="80"/>
      <c r="E25" s="80"/>
      <c r="F25" s="294"/>
      <c r="G25" s="294"/>
      <c r="H25" s="294"/>
      <c r="I25" s="294"/>
      <c r="J25" s="294"/>
      <c r="K25" s="294"/>
      <c r="L25" s="294"/>
      <c r="M25" s="294"/>
      <c r="N25" s="294"/>
      <c r="O25" s="294"/>
      <c r="P25" s="294"/>
      <c r="Q25" s="294"/>
      <c r="R25" s="294"/>
      <c r="S25" s="294"/>
      <c r="T25" s="294"/>
      <c r="U25" s="202"/>
      <c r="V25" s="295"/>
      <c r="W25" s="309"/>
      <c r="X25" s="148"/>
      <c r="Y25" s="293"/>
      <c r="Z25" s="295"/>
      <c r="AA25" s="295"/>
      <c r="AB25" s="295"/>
      <c r="AC25" s="295"/>
      <c r="AD25" s="295"/>
      <c r="AE25" s="295"/>
      <c r="AF25" s="295"/>
      <c r="AG25" s="295"/>
      <c r="AH25" s="295"/>
      <c r="AI25" s="295"/>
      <c r="AJ25" s="295"/>
      <c r="AK25" s="295"/>
      <c r="AL25" s="309"/>
      <c r="AM25" s="62"/>
      <c r="AP25" s="325"/>
      <c r="AQ25" s="325"/>
      <c r="AR25" s="325"/>
      <c r="AS25" s="325"/>
      <c r="AT25" s="325"/>
      <c r="AU25" s="325"/>
      <c r="AV25" s="325"/>
      <c r="AW25" s="325"/>
      <c r="AX25" s="325"/>
      <c r="AY25" s="325"/>
      <c r="AZ25" s="325"/>
      <c r="BA25" s="325"/>
    </row>
    <row r="26" spans="2:53" ht="4.5" customHeight="1">
      <c r="B26" s="60"/>
      <c r="C26" s="148"/>
      <c r="D26" s="61"/>
      <c r="E26" s="61"/>
      <c r="F26" s="290"/>
      <c r="G26" s="290"/>
      <c r="H26" s="290"/>
      <c r="I26" s="290"/>
      <c r="J26" s="290"/>
      <c r="K26" s="290"/>
      <c r="L26" s="290"/>
      <c r="M26" s="290"/>
      <c r="N26" s="290"/>
      <c r="O26" s="290"/>
      <c r="P26" s="290"/>
      <c r="Q26" s="290"/>
      <c r="R26" s="290"/>
      <c r="S26" s="290"/>
      <c r="T26" s="290"/>
      <c r="U26" s="72"/>
      <c r="V26" s="148"/>
      <c r="W26" s="148"/>
      <c r="X26" s="148"/>
      <c r="Y26" s="148"/>
      <c r="Z26" s="148"/>
      <c r="AA26" s="148"/>
      <c r="AB26" s="148"/>
      <c r="AC26" s="148"/>
      <c r="AD26" s="148"/>
      <c r="AE26" s="148"/>
      <c r="AF26" s="148"/>
      <c r="AG26" s="148"/>
      <c r="AH26" s="148"/>
      <c r="AI26" s="148"/>
      <c r="AJ26" s="148"/>
      <c r="AK26" s="148"/>
      <c r="AL26" s="148"/>
      <c r="AM26" s="62"/>
      <c r="AP26" s="325"/>
      <c r="AQ26" s="325"/>
      <c r="AR26" s="325"/>
      <c r="AS26" s="325"/>
      <c r="AT26" s="325"/>
      <c r="AU26" s="325"/>
      <c r="AV26" s="325"/>
      <c r="AW26" s="325"/>
      <c r="AX26" s="325"/>
      <c r="AY26" s="325"/>
      <c r="AZ26" s="325"/>
      <c r="BA26" s="325"/>
    </row>
    <row r="27" spans="2:53" ht="4.5" customHeight="1">
      <c r="B27" s="60"/>
      <c r="C27" s="296"/>
      <c r="D27" s="66"/>
      <c r="E27" s="66"/>
      <c r="F27" s="307"/>
      <c r="G27" s="307"/>
      <c r="H27" s="307"/>
      <c r="I27" s="307"/>
      <c r="J27" s="307"/>
      <c r="K27" s="307"/>
      <c r="L27" s="307"/>
      <c r="M27" s="307"/>
      <c r="N27" s="307"/>
      <c r="O27" s="307"/>
      <c r="P27" s="307"/>
      <c r="Q27" s="307"/>
      <c r="R27" s="307"/>
      <c r="S27" s="316"/>
      <c r="T27" s="290"/>
      <c r="U27" s="317"/>
      <c r="V27" s="149"/>
      <c r="W27" s="149"/>
      <c r="X27" s="149"/>
      <c r="Y27" s="149"/>
      <c r="Z27" s="149"/>
      <c r="AA27" s="149"/>
      <c r="AB27" s="149"/>
      <c r="AC27" s="149"/>
      <c r="AD27" s="149"/>
      <c r="AE27" s="149"/>
      <c r="AF27" s="149"/>
      <c r="AG27" s="149"/>
      <c r="AH27" s="149"/>
      <c r="AI27" s="149"/>
      <c r="AJ27" s="149"/>
      <c r="AK27" s="149"/>
      <c r="AL27" s="308"/>
      <c r="AM27" s="62"/>
      <c r="AP27" s="325"/>
      <c r="AQ27" s="325"/>
      <c r="AR27" s="325"/>
      <c r="AS27" s="325"/>
      <c r="AT27" s="325"/>
      <c r="AU27" s="325"/>
      <c r="AV27" s="325"/>
      <c r="AW27" s="325"/>
      <c r="AX27" s="325"/>
      <c r="AY27" s="325"/>
      <c r="AZ27" s="325"/>
      <c r="BA27" s="325"/>
    </row>
    <row r="28" spans="2:53" ht="12.75" customHeight="1">
      <c r="B28" s="60"/>
      <c r="C28" s="321" t="s">
        <v>744</v>
      </c>
      <c r="D28" s="315"/>
      <c r="E28" s="148"/>
      <c r="F28" s="148"/>
      <c r="G28" s="148"/>
      <c r="H28" s="302"/>
      <c r="I28" s="1099" t="s">
        <v>238</v>
      </c>
      <c r="J28" s="1099" t="s">
        <v>706</v>
      </c>
      <c r="K28" s="1099" t="s">
        <v>707</v>
      </c>
      <c r="L28" s="1099" t="s">
        <v>708</v>
      </c>
      <c r="M28" s="1099" t="s">
        <v>709</v>
      </c>
      <c r="N28" s="1099" t="s">
        <v>702</v>
      </c>
      <c r="O28" s="1099" t="s">
        <v>701</v>
      </c>
      <c r="P28" s="1099" t="s">
        <v>710</v>
      </c>
      <c r="Q28" s="1099" t="s">
        <v>711</v>
      </c>
      <c r="R28" s="1099" t="s">
        <v>703</v>
      </c>
      <c r="S28" s="83"/>
      <c r="T28" s="61"/>
      <c r="U28" s="314" t="s">
        <v>747</v>
      </c>
      <c r="V28" s="72"/>
      <c r="W28" s="72"/>
      <c r="X28" s="72"/>
      <c r="Y28" s="72"/>
      <c r="Z28" s="72"/>
      <c r="AA28" s="72"/>
      <c r="AB28" s="1099" t="s">
        <v>748</v>
      </c>
      <c r="AC28" s="1099" t="s">
        <v>753</v>
      </c>
      <c r="AD28" s="1099" t="s">
        <v>775</v>
      </c>
      <c r="AE28" s="1099" t="s">
        <v>754</v>
      </c>
      <c r="AF28" s="1099" t="s">
        <v>756</v>
      </c>
      <c r="AG28" s="1099" t="s">
        <v>749</v>
      </c>
      <c r="AH28" s="1099" t="s">
        <v>750</v>
      </c>
      <c r="AI28" s="1099" t="s">
        <v>751</v>
      </c>
      <c r="AJ28" s="1099" t="s">
        <v>752</v>
      </c>
      <c r="AK28" s="1099" t="s">
        <v>755</v>
      </c>
      <c r="AL28" s="83"/>
      <c r="AM28" s="62"/>
      <c r="AP28" s="325"/>
      <c r="AQ28" s="304" t="s">
        <v>238</v>
      </c>
      <c r="AR28" s="305"/>
      <c r="AS28" s="304" t="s">
        <v>748</v>
      </c>
      <c r="AT28" s="305"/>
      <c r="AU28" s="305"/>
      <c r="AV28" s="325"/>
      <c r="AW28" s="325"/>
      <c r="AX28" s="325"/>
      <c r="AY28" s="325"/>
      <c r="AZ28" s="325"/>
      <c r="BA28" s="325"/>
    </row>
    <row r="29" spans="2:53" ht="12.75" customHeight="1">
      <c r="B29" s="60"/>
      <c r="C29" s="321"/>
      <c r="D29" s="315"/>
      <c r="E29" s="148"/>
      <c r="F29" s="148"/>
      <c r="G29" s="148"/>
      <c r="H29" s="302"/>
      <c r="I29" s="1100"/>
      <c r="J29" s="1100"/>
      <c r="K29" s="1100"/>
      <c r="L29" s="1100"/>
      <c r="M29" s="1100"/>
      <c r="N29" s="1100"/>
      <c r="O29" s="1100"/>
      <c r="P29" s="1100"/>
      <c r="Q29" s="1100"/>
      <c r="R29" s="1100"/>
      <c r="S29" s="83"/>
      <c r="T29" s="61"/>
      <c r="U29" s="73"/>
      <c r="V29" s="72"/>
      <c r="W29" s="72"/>
      <c r="X29" s="72"/>
      <c r="Y29" s="72"/>
      <c r="Z29" s="72"/>
      <c r="AA29" s="72"/>
      <c r="AB29" s="1100"/>
      <c r="AC29" s="1100"/>
      <c r="AD29" s="1100"/>
      <c r="AE29" s="1100"/>
      <c r="AF29" s="1100"/>
      <c r="AG29" s="1100"/>
      <c r="AH29" s="1100"/>
      <c r="AI29" s="1100"/>
      <c r="AJ29" s="1100"/>
      <c r="AK29" s="1100"/>
      <c r="AL29" s="83"/>
      <c r="AM29" s="62"/>
      <c r="AP29" s="326"/>
      <c r="AQ29" s="304" t="s">
        <v>762</v>
      </c>
      <c r="AR29" s="305"/>
      <c r="AS29" s="304" t="s">
        <v>764</v>
      </c>
      <c r="AT29" s="305"/>
      <c r="AU29" s="305"/>
      <c r="AV29" s="325"/>
      <c r="AW29" s="325"/>
      <c r="AX29" s="325"/>
      <c r="AY29" s="325"/>
      <c r="AZ29" s="325"/>
      <c r="BA29" s="325"/>
    </row>
    <row r="30" spans="2:53" ht="12.75" customHeight="1">
      <c r="B30" s="60"/>
      <c r="C30" s="292"/>
      <c r="D30" s="148"/>
      <c r="E30" s="148"/>
      <c r="F30" s="148"/>
      <c r="G30" s="148"/>
      <c r="H30" s="302"/>
      <c r="I30" s="1100"/>
      <c r="J30" s="1100"/>
      <c r="K30" s="1100"/>
      <c r="L30" s="1100"/>
      <c r="M30" s="1100"/>
      <c r="N30" s="1100"/>
      <c r="O30" s="1100"/>
      <c r="P30" s="1100"/>
      <c r="Q30" s="1100"/>
      <c r="R30" s="1100"/>
      <c r="S30" s="83"/>
      <c r="T30" s="61"/>
      <c r="U30" s="73"/>
      <c r="V30" s="72"/>
      <c r="W30" s="72"/>
      <c r="X30" s="72"/>
      <c r="Y30" s="72"/>
      <c r="Z30" s="72"/>
      <c r="AA30" s="72"/>
      <c r="AB30" s="1100"/>
      <c r="AC30" s="1100"/>
      <c r="AD30" s="1100"/>
      <c r="AE30" s="1100"/>
      <c r="AF30" s="1100"/>
      <c r="AG30" s="1100"/>
      <c r="AH30" s="1100"/>
      <c r="AI30" s="1100"/>
      <c r="AJ30" s="1100"/>
      <c r="AK30" s="1100"/>
      <c r="AL30" s="83"/>
      <c r="AM30" s="62"/>
      <c r="AP30" s="326"/>
      <c r="AQ30" s="304" t="s">
        <v>758</v>
      </c>
      <c r="AR30" s="305"/>
      <c r="AS30" s="304" t="s">
        <v>774</v>
      </c>
      <c r="AT30" s="305"/>
      <c r="AU30" s="305"/>
      <c r="AV30" s="325"/>
      <c r="AW30" s="328"/>
      <c r="AX30" s="328"/>
      <c r="AY30" s="328"/>
      <c r="AZ30" s="328"/>
      <c r="BA30" s="325"/>
    </row>
    <row r="31" spans="2:53" ht="12.75" customHeight="1">
      <c r="B31" s="60"/>
      <c r="C31" s="292"/>
      <c r="D31" s="148"/>
      <c r="E31" s="148"/>
      <c r="F31" s="148"/>
      <c r="G31" s="148"/>
      <c r="H31" s="302"/>
      <c r="I31" s="1100"/>
      <c r="J31" s="1100"/>
      <c r="K31" s="1100"/>
      <c r="L31" s="1100"/>
      <c r="M31" s="1100"/>
      <c r="N31" s="1100"/>
      <c r="O31" s="1100"/>
      <c r="P31" s="1100"/>
      <c r="Q31" s="1100"/>
      <c r="R31" s="1100"/>
      <c r="S31" s="83"/>
      <c r="T31" s="61"/>
      <c r="U31" s="73"/>
      <c r="V31" s="72"/>
      <c r="W31" s="72"/>
      <c r="X31" s="72"/>
      <c r="Y31" s="72"/>
      <c r="Z31" s="72"/>
      <c r="AA31" s="72"/>
      <c r="AB31" s="1100"/>
      <c r="AC31" s="1100"/>
      <c r="AD31" s="1100"/>
      <c r="AE31" s="1100"/>
      <c r="AF31" s="1100"/>
      <c r="AG31" s="1100"/>
      <c r="AH31" s="1100"/>
      <c r="AI31" s="1100"/>
      <c r="AJ31" s="1100"/>
      <c r="AK31" s="1100"/>
      <c r="AL31" s="83"/>
      <c r="AM31" s="62"/>
      <c r="AP31" s="326"/>
      <c r="AQ31" s="304" t="s">
        <v>763</v>
      </c>
      <c r="AR31" s="305"/>
      <c r="AS31" s="304" t="s">
        <v>765</v>
      </c>
      <c r="AT31" s="305"/>
      <c r="AU31" s="305"/>
      <c r="AV31" s="328"/>
      <c r="AW31" s="328"/>
      <c r="AX31" s="328"/>
      <c r="AY31" s="328"/>
      <c r="AZ31" s="328"/>
      <c r="BA31" s="325"/>
    </row>
    <row r="32" spans="2:53" ht="12.75" customHeight="1">
      <c r="B32" s="60"/>
      <c r="C32" s="292"/>
      <c r="D32" s="148"/>
      <c r="E32" s="148"/>
      <c r="F32" s="148"/>
      <c r="G32" s="148"/>
      <c r="H32" s="302"/>
      <c r="I32" s="1100"/>
      <c r="J32" s="1100"/>
      <c r="K32" s="1100"/>
      <c r="L32" s="1100"/>
      <c r="M32" s="1100"/>
      <c r="N32" s="1100"/>
      <c r="O32" s="1100"/>
      <c r="P32" s="1100"/>
      <c r="Q32" s="1100"/>
      <c r="R32" s="1100"/>
      <c r="S32" s="83"/>
      <c r="T32" s="61"/>
      <c r="U32" s="73"/>
      <c r="V32" s="72"/>
      <c r="W32" s="72"/>
      <c r="X32" s="72"/>
      <c r="Y32" s="72"/>
      <c r="Z32" s="72"/>
      <c r="AA32" s="72"/>
      <c r="AB32" s="1100"/>
      <c r="AC32" s="1100"/>
      <c r="AD32" s="1100"/>
      <c r="AE32" s="1100"/>
      <c r="AF32" s="1100"/>
      <c r="AG32" s="1100"/>
      <c r="AH32" s="1100"/>
      <c r="AI32" s="1100"/>
      <c r="AJ32" s="1100"/>
      <c r="AK32" s="1100"/>
      <c r="AL32" s="83"/>
      <c r="AM32" s="62"/>
      <c r="AP32" s="326"/>
      <c r="AQ32" s="304" t="s">
        <v>759</v>
      </c>
      <c r="AR32" s="305"/>
      <c r="AS32" s="304" t="s">
        <v>766</v>
      </c>
      <c r="AT32" s="305"/>
      <c r="AU32" s="305"/>
      <c r="AV32" s="328"/>
      <c r="AW32" s="328"/>
      <c r="AX32" s="328"/>
      <c r="AY32" s="328"/>
      <c r="AZ32" s="328"/>
      <c r="BA32" s="325"/>
    </row>
    <row r="33" spans="2:53" ht="12.75" customHeight="1">
      <c r="B33" s="60"/>
      <c r="C33" s="292"/>
      <c r="D33" s="148"/>
      <c r="E33" s="148"/>
      <c r="F33" s="148"/>
      <c r="G33" s="148"/>
      <c r="H33" s="302"/>
      <c r="I33" s="1100"/>
      <c r="J33" s="1100"/>
      <c r="K33" s="1100"/>
      <c r="L33" s="1100"/>
      <c r="M33" s="1100"/>
      <c r="N33" s="1100"/>
      <c r="O33" s="1100"/>
      <c r="P33" s="1100"/>
      <c r="Q33" s="1100"/>
      <c r="R33" s="1100"/>
      <c r="S33" s="83"/>
      <c r="T33" s="61"/>
      <c r="U33" s="73"/>
      <c r="V33" s="72"/>
      <c r="W33" s="72"/>
      <c r="X33" s="72"/>
      <c r="Y33" s="72"/>
      <c r="Z33" s="72"/>
      <c r="AA33" s="72"/>
      <c r="AB33" s="1100"/>
      <c r="AC33" s="1100"/>
      <c r="AD33" s="1100"/>
      <c r="AE33" s="1100"/>
      <c r="AF33" s="1100"/>
      <c r="AG33" s="1100"/>
      <c r="AH33" s="1100"/>
      <c r="AI33" s="1100"/>
      <c r="AJ33" s="1100"/>
      <c r="AK33" s="1100"/>
      <c r="AL33" s="83"/>
      <c r="AM33" s="62"/>
      <c r="AP33" s="326"/>
      <c r="AQ33" s="304" t="s">
        <v>702</v>
      </c>
      <c r="AR33" s="305"/>
      <c r="AS33" s="304" t="s">
        <v>749</v>
      </c>
      <c r="AT33" s="305"/>
      <c r="AU33" s="305"/>
      <c r="AV33" s="328"/>
      <c r="AW33" s="328"/>
      <c r="AX33" s="328"/>
      <c r="AY33" s="328"/>
      <c r="AZ33" s="328"/>
      <c r="BA33" s="325"/>
    </row>
    <row r="34" spans="2:53" ht="12.75" customHeight="1">
      <c r="B34" s="60"/>
      <c r="C34" s="292"/>
      <c r="D34" s="148"/>
      <c r="E34" s="148"/>
      <c r="F34" s="148"/>
      <c r="G34" s="148"/>
      <c r="H34" s="302"/>
      <c r="I34" s="1101"/>
      <c r="J34" s="1101"/>
      <c r="K34" s="1101"/>
      <c r="L34" s="1101"/>
      <c r="M34" s="1101"/>
      <c r="N34" s="1101"/>
      <c r="O34" s="1101"/>
      <c r="P34" s="1101"/>
      <c r="Q34" s="1101"/>
      <c r="R34" s="1101"/>
      <c r="S34" s="83"/>
      <c r="T34" s="61"/>
      <c r="U34" s="73"/>
      <c r="V34" s="72"/>
      <c r="W34" s="72"/>
      <c r="X34" s="72"/>
      <c r="Y34" s="72"/>
      <c r="Z34" s="72"/>
      <c r="AA34" s="72"/>
      <c r="AB34" s="1101"/>
      <c r="AC34" s="1101"/>
      <c r="AD34" s="1101"/>
      <c r="AE34" s="1101"/>
      <c r="AF34" s="1101"/>
      <c r="AG34" s="1101"/>
      <c r="AH34" s="1101"/>
      <c r="AI34" s="1101"/>
      <c r="AJ34" s="1101"/>
      <c r="AK34" s="1101"/>
      <c r="AL34" s="83"/>
      <c r="AM34" s="62"/>
      <c r="AP34" s="326"/>
      <c r="AQ34" s="304" t="s">
        <v>701</v>
      </c>
      <c r="AR34" s="305"/>
      <c r="AS34" s="304" t="s">
        <v>767</v>
      </c>
      <c r="AT34" s="305"/>
      <c r="AU34" s="305"/>
      <c r="AV34" s="328"/>
      <c r="AW34" s="328"/>
      <c r="AX34" s="328"/>
      <c r="AY34" s="328"/>
      <c r="AZ34" s="328"/>
      <c r="BA34" s="325"/>
    </row>
    <row r="35" spans="2:53" ht="12.75" customHeight="1">
      <c r="B35" s="60"/>
      <c r="C35" s="292"/>
      <c r="D35" s="1090" t="str">
        <f>D7</f>
        <v/>
      </c>
      <c r="E35" s="1091"/>
      <c r="F35" s="1091"/>
      <c r="G35" s="1091"/>
      <c r="H35" s="1092"/>
      <c r="I35" s="760"/>
      <c r="J35" s="760"/>
      <c r="K35" s="760"/>
      <c r="L35" s="760"/>
      <c r="M35" s="760"/>
      <c r="N35" s="760"/>
      <c r="O35" s="760"/>
      <c r="P35" s="760"/>
      <c r="Q35" s="760"/>
      <c r="R35" s="760"/>
      <c r="S35" s="83"/>
      <c r="T35" s="61"/>
      <c r="U35" s="91"/>
      <c r="V35" s="61"/>
      <c r="W35" s="61"/>
      <c r="X35" s="61"/>
      <c r="Y35" s="61"/>
      <c r="Z35" s="61"/>
      <c r="AA35" s="72"/>
      <c r="AB35" s="760"/>
      <c r="AC35" s="760"/>
      <c r="AD35" s="760"/>
      <c r="AE35" s="760"/>
      <c r="AF35" s="760"/>
      <c r="AG35" s="760"/>
      <c r="AH35" s="760"/>
      <c r="AI35" s="760"/>
      <c r="AJ35" s="760"/>
      <c r="AK35" s="760"/>
      <c r="AL35" s="83"/>
      <c r="AM35" s="62"/>
      <c r="AP35" s="326"/>
      <c r="AQ35" s="304" t="s">
        <v>760</v>
      </c>
      <c r="AR35" s="305"/>
      <c r="AS35" s="304" t="s">
        <v>751</v>
      </c>
      <c r="AT35" s="305"/>
      <c r="AU35" s="305"/>
      <c r="AV35" s="328"/>
      <c r="AW35" s="328"/>
      <c r="AX35" s="328"/>
      <c r="AY35" s="328"/>
      <c r="AZ35" s="328"/>
      <c r="BA35" s="325"/>
    </row>
    <row r="36" spans="2:53" ht="12.75" customHeight="1">
      <c r="B36" s="60"/>
      <c r="C36" s="292"/>
      <c r="D36" s="1090" t="str">
        <f>IF(ISBLANK(P24),"",P24)</f>
        <v/>
      </c>
      <c r="E36" s="1091"/>
      <c r="F36" s="1091"/>
      <c r="G36" s="1091"/>
      <c r="H36" s="1092"/>
      <c r="I36" s="761"/>
      <c r="J36" s="761"/>
      <c r="K36" s="761"/>
      <c r="L36" s="761"/>
      <c r="M36" s="761"/>
      <c r="N36" s="761"/>
      <c r="O36" s="761"/>
      <c r="P36" s="761"/>
      <c r="Q36" s="761"/>
      <c r="R36" s="761"/>
      <c r="S36" s="83"/>
      <c r="T36" s="61"/>
      <c r="U36" s="91"/>
      <c r="V36" s="61"/>
      <c r="W36" s="61"/>
      <c r="X36" s="61"/>
      <c r="Y36" s="61"/>
      <c r="Z36" s="61"/>
      <c r="AA36" s="72"/>
      <c r="AB36" s="761"/>
      <c r="AC36" s="761"/>
      <c r="AD36" s="761"/>
      <c r="AE36" s="761"/>
      <c r="AF36" s="761"/>
      <c r="AG36" s="761"/>
      <c r="AH36" s="761"/>
      <c r="AI36" s="761"/>
      <c r="AJ36" s="761"/>
      <c r="AK36" s="761"/>
      <c r="AL36" s="83"/>
      <c r="AM36" s="62"/>
      <c r="AP36" s="326"/>
      <c r="AQ36" s="304" t="s">
        <v>761</v>
      </c>
      <c r="AR36" s="305"/>
      <c r="AS36" s="304" t="s">
        <v>768</v>
      </c>
      <c r="AT36" s="305"/>
      <c r="AU36" s="305"/>
      <c r="AV36" s="328"/>
      <c r="AW36" s="328"/>
      <c r="AX36" s="328"/>
      <c r="AY36" s="328"/>
      <c r="AZ36" s="328"/>
      <c r="BA36" s="325"/>
    </row>
    <row r="37" spans="2:53" ht="12.75" customHeight="1">
      <c r="B37" s="60"/>
      <c r="C37" s="292"/>
      <c r="D37" s="61"/>
      <c r="E37" s="61"/>
      <c r="F37" s="61"/>
      <c r="G37" s="61"/>
      <c r="H37" s="61"/>
      <c r="I37" s="61"/>
      <c r="J37" s="61"/>
      <c r="K37" s="567"/>
      <c r="L37" s="61"/>
      <c r="M37" s="61"/>
      <c r="N37" s="61"/>
      <c r="O37" s="61"/>
      <c r="P37" s="61"/>
      <c r="Q37" s="61"/>
      <c r="R37" s="61"/>
      <c r="S37" s="83"/>
      <c r="T37" s="61"/>
      <c r="U37" s="91"/>
      <c r="V37" s="72"/>
      <c r="W37" s="72"/>
      <c r="X37" s="72"/>
      <c r="Y37" s="72"/>
      <c r="Z37" s="72"/>
      <c r="AA37" s="72"/>
      <c r="AB37" s="72"/>
      <c r="AC37" s="72"/>
      <c r="AD37" s="72"/>
      <c r="AE37" s="72"/>
      <c r="AF37" s="72"/>
      <c r="AG37" s="72"/>
      <c r="AH37" s="72"/>
      <c r="AI37" s="72"/>
      <c r="AJ37" s="72"/>
      <c r="AK37" s="72"/>
      <c r="AL37" s="83"/>
      <c r="AM37" s="62"/>
      <c r="AP37" s="326"/>
      <c r="AQ37" s="304" t="s">
        <v>703</v>
      </c>
      <c r="AR37" s="305"/>
      <c r="AS37" s="304" t="s">
        <v>755</v>
      </c>
      <c r="AT37" s="305"/>
      <c r="AU37" s="305"/>
      <c r="AV37" s="328"/>
      <c r="AW37" s="328"/>
      <c r="AX37" s="328"/>
      <c r="AY37" s="328"/>
      <c r="AZ37" s="328"/>
      <c r="BA37" s="325"/>
    </row>
    <row r="38" spans="2:53" ht="12.75" customHeight="1">
      <c r="B38" s="60"/>
      <c r="C38" s="292"/>
      <c r="D38" s="61"/>
      <c r="E38" s="61"/>
      <c r="F38" s="61"/>
      <c r="G38" s="61"/>
      <c r="H38" s="61"/>
      <c r="I38" s="61"/>
      <c r="J38" s="61"/>
      <c r="K38" s="567"/>
      <c r="L38" s="61"/>
      <c r="M38" s="61"/>
      <c r="N38" s="61"/>
      <c r="O38" s="61"/>
      <c r="P38" s="61"/>
      <c r="Q38" s="61"/>
      <c r="R38" s="61"/>
      <c r="S38" s="83"/>
      <c r="T38" s="61"/>
      <c r="U38" s="91"/>
      <c r="V38" s="72"/>
      <c r="W38" s="72"/>
      <c r="X38" s="72"/>
      <c r="Y38" s="72"/>
      <c r="Z38" s="72"/>
      <c r="AA38" s="72"/>
      <c r="AB38" s="72"/>
      <c r="AC38" s="72"/>
      <c r="AD38" s="72"/>
      <c r="AE38" s="72"/>
      <c r="AF38" s="72"/>
      <c r="AG38" s="72"/>
      <c r="AH38" s="72"/>
      <c r="AI38" s="72"/>
      <c r="AJ38" s="72"/>
      <c r="AK38" s="72"/>
      <c r="AL38" s="83"/>
      <c r="AM38" s="62"/>
      <c r="AP38" s="325"/>
      <c r="AQ38" s="305"/>
      <c r="AR38" s="305"/>
      <c r="AS38" s="305"/>
      <c r="AT38" s="305"/>
      <c r="AU38" s="305"/>
      <c r="AV38" s="328"/>
      <c r="AW38" s="328"/>
      <c r="AX38" s="328"/>
      <c r="AY38" s="328"/>
      <c r="AZ38" s="328"/>
      <c r="BA38" s="325"/>
    </row>
    <row r="39" spans="2:53" ht="12.75" customHeight="1">
      <c r="B39" s="60"/>
      <c r="C39" s="292"/>
      <c r="D39" s="61"/>
      <c r="E39" s="61"/>
      <c r="F39" s="61"/>
      <c r="G39" s="61"/>
      <c r="H39" s="61"/>
      <c r="I39" s="61"/>
      <c r="J39" s="61"/>
      <c r="K39" s="567"/>
      <c r="L39" s="61"/>
      <c r="M39" s="61"/>
      <c r="N39" s="61"/>
      <c r="O39" s="61"/>
      <c r="P39" s="61"/>
      <c r="Q39" s="61"/>
      <c r="R39" s="61"/>
      <c r="S39" s="83"/>
      <c r="T39" s="61"/>
      <c r="U39" s="91"/>
      <c r="V39" s="72"/>
      <c r="W39" s="72"/>
      <c r="X39" s="72"/>
      <c r="Y39" s="72"/>
      <c r="Z39" s="72"/>
      <c r="AA39" s="72"/>
      <c r="AB39" s="72"/>
      <c r="AC39" s="72"/>
      <c r="AD39" s="72"/>
      <c r="AE39" s="72"/>
      <c r="AF39" s="72"/>
      <c r="AG39" s="72"/>
      <c r="AH39" s="72"/>
      <c r="AI39" s="72"/>
      <c r="AJ39" s="72"/>
      <c r="AK39" s="72"/>
      <c r="AL39" s="83"/>
      <c r="AM39" s="62"/>
      <c r="AP39" s="325"/>
      <c r="AQ39" s="305"/>
      <c r="AR39" s="305"/>
      <c r="AS39" s="305"/>
      <c r="AT39" s="305"/>
      <c r="AU39" s="305"/>
      <c r="AV39" s="328"/>
      <c r="AW39" s="328"/>
      <c r="AX39" s="328"/>
      <c r="AY39" s="328"/>
      <c r="AZ39" s="328"/>
      <c r="BA39" s="325"/>
    </row>
    <row r="40" spans="2:53" ht="12.75" customHeight="1">
      <c r="B40" s="60"/>
      <c r="C40" s="292"/>
      <c r="D40" s="61"/>
      <c r="E40" s="61"/>
      <c r="F40" s="61"/>
      <c r="G40" s="61"/>
      <c r="H40" s="61"/>
      <c r="I40" s="61"/>
      <c r="J40" s="61"/>
      <c r="K40" s="567"/>
      <c r="L40" s="61"/>
      <c r="M40" s="61"/>
      <c r="N40" s="61"/>
      <c r="O40" s="61"/>
      <c r="P40" s="61"/>
      <c r="Q40" s="61"/>
      <c r="R40" s="61"/>
      <c r="S40" s="83"/>
      <c r="T40" s="61"/>
      <c r="U40" s="91"/>
      <c r="V40" s="72"/>
      <c r="W40" s="72"/>
      <c r="X40" s="72"/>
      <c r="Y40" s="72"/>
      <c r="Z40" s="72"/>
      <c r="AA40" s="72"/>
      <c r="AB40" s="72"/>
      <c r="AC40" s="72"/>
      <c r="AD40" s="72"/>
      <c r="AE40" s="72"/>
      <c r="AF40" s="72"/>
      <c r="AG40" s="72"/>
      <c r="AH40" s="72"/>
      <c r="AI40" s="72"/>
      <c r="AJ40" s="72"/>
      <c r="AK40" s="72"/>
      <c r="AL40" s="83"/>
      <c r="AM40" s="62"/>
      <c r="AP40" s="325"/>
      <c r="AQ40" s="328"/>
      <c r="AR40" s="328"/>
      <c r="AS40" s="328"/>
      <c r="AT40" s="328"/>
      <c r="AU40" s="328"/>
      <c r="AV40" s="328"/>
      <c r="AW40" s="328"/>
      <c r="AX40" s="328"/>
      <c r="AY40" s="328"/>
      <c r="AZ40" s="328"/>
      <c r="BA40" s="325"/>
    </row>
    <row r="41" spans="2:53" ht="12.75" customHeight="1">
      <c r="B41" s="60"/>
      <c r="C41" s="292"/>
      <c r="D41" s="61"/>
      <c r="E41" s="61"/>
      <c r="F41" s="61"/>
      <c r="G41" s="61"/>
      <c r="H41" s="61"/>
      <c r="I41" s="61"/>
      <c r="J41" s="61"/>
      <c r="K41" s="567"/>
      <c r="L41" s="61"/>
      <c r="M41" s="61"/>
      <c r="N41" s="61"/>
      <c r="O41" s="61"/>
      <c r="P41" s="61"/>
      <c r="Q41" s="61"/>
      <c r="R41" s="61"/>
      <c r="S41" s="83"/>
      <c r="T41" s="61"/>
      <c r="U41" s="91"/>
      <c r="V41" s="72"/>
      <c r="W41" s="72"/>
      <c r="X41" s="72"/>
      <c r="Y41" s="72"/>
      <c r="Z41" s="72"/>
      <c r="AA41" s="72"/>
      <c r="AB41" s="72"/>
      <c r="AC41" s="72"/>
      <c r="AD41" s="72"/>
      <c r="AE41" s="72"/>
      <c r="AF41" s="72"/>
      <c r="AG41" s="72"/>
      <c r="AH41" s="72"/>
      <c r="AI41" s="72"/>
      <c r="AJ41" s="72"/>
      <c r="AK41" s="72"/>
      <c r="AL41" s="83"/>
      <c r="AM41" s="62"/>
      <c r="AP41" s="325"/>
      <c r="AQ41" s="328"/>
      <c r="AR41" s="328"/>
      <c r="AS41" s="328"/>
      <c r="AT41" s="328"/>
      <c r="AU41" s="328"/>
      <c r="AV41" s="328"/>
      <c r="AW41" s="328"/>
      <c r="AX41" s="328"/>
      <c r="AY41" s="328"/>
      <c r="AZ41" s="328"/>
      <c r="BA41" s="325"/>
    </row>
    <row r="42" spans="2:53" ht="12.75" customHeight="1">
      <c r="B42" s="60"/>
      <c r="C42" s="292"/>
      <c r="D42" s="61"/>
      <c r="E42" s="61"/>
      <c r="F42" s="61"/>
      <c r="G42" s="61"/>
      <c r="H42" s="61"/>
      <c r="I42" s="61"/>
      <c r="J42" s="61"/>
      <c r="K42" s="567"/>
      <c r="L42" s="61"/>
      <c r="M42" s="61"/>
      <c r="N42" s="61"/>
      <c r="O42" s="61"/>
      <c r="P42" s="61"/>
      <c r="Q42" s="61"/>
      <c r="R42" s="61"/>
      <c r="S42" s="83"/>
      <c r="T42" s="61"/>
      <c r="U42" s="91"/>
      <c r="V42" s="72"/>
      <c r="W42" s="72"/>
      <c r="X42" s="72"/>
      <c r="Y42" s="72"/>
      <c r="Z42" s="72"/>
      <c r="AA42" s="72"/>
      <c r="AB42" s="72"/>
      <c r="AC42" s="72"/>
      <c r="AD42" s="72"/>
      <c r="AE42" s="72"/>
      <c r="AF42" s="72"/>
      <c r="AG42" s="72"/>
      <c r="AH42" s="72"/>
      <c r="AI42" s="72"/>
      <c r="AJ42" s="72"/>
      <c r="AK42" s="72"/>
      <c r="AL42" s="83"/>
      <c r="AM42" s="62"/>
      <c r="AP42" s="325"/>
      <c r="AQ42" s="328"/>
      <c r="AR42" s="328"/>
      <c r="AS42" s="328"/>
      <c r="AT42" s="328"/>
      <c r="AU42" s="328"/>
      <c r="AV42" s="328"/>
      <c r="AW42" s="328"/>
      <c r="AX42" s="328"/>
      <c r="AY42" s="328"/>
      <c r="AZ42" s="328"/>
      <c r="BA42" s="325"/>
    </row>
    <row r="43" spans="2:53" ht="12.75" customHeight="1">
      <c r="B43" s="60"/>
      <c r="C43" s="292"/>
      <c r="D43" s="61"/>
      <c r="E43" s="61"/>
      <c r="F43" s="61"/>
      <c r="G43" s="61"/>
      <c r="H43" s="61"/>
      <c r="I43" s="61"/>
      <c r="J43" s="61"/>
      <c r="K43" s="567"/>
      <c r="L43" s="61"/>
      <c r="M43" s="61"/>
      <c r="N43" s="61"/>
      <c r="O43" s="61"/>
      <c r="P43" s="61"/>
      <c r="Q43" s="61"/>
      <c r="R43" s="61"/>
      <c r="S43" s="83"/>
      <c r="T43" s="61"/>
      <c r="U43" s="91"/>
      <c r="V43" s="72"/>
      <c r="W43" s="72"/>
      <c r="X43" s="72"/>
      <c r="Y43" s="72"/>
      <c r="Z43" s="72"/>
      <c r="AA43" s="72"/>
      <c r="AB43" s="72"/>
      <c r="AC43" s="72"/>
      <c r="AD43" s="72"/>
      <c r="AE43" s="72"/>
      <c r="AF43" s="72"/>
      <c r="AG43" s="72"/>
      <c r="AH43" s="72"/>
      <c r="AI43" s="72"/>
      <c r="AJ43" s="72"/>
      <c r="AK43" s="72"/>
      <c r="AL43" s="83"/>
      <c r="AM43" s="62"/>
      <c r="AP43" s="325"/>
      <c r="AQ43" s="328"/>
      <c r="AR43" s="328"/>
      <c r="AS43" s="328"/>
      <c r="AT43" s="328"/>
      <c r="AU43" s="328"/>
      <c r="AV43" s="328"/>
      <c r="AW43" s="328"/>
      <c r="AX43" s="328"/>
      <c r="AY43" s="328"/>
      <c r="AZ43" s="328"/>
      <c r="BA43" s="325"/>
    </row>
    <row r="44" spans="2:53" ht="12.75" customHeight="1">
      <c r="B44" s="60"/>
      <c r="C44" s="292"/>
      <c r="D44" s="61"/>
      <c r="E44" s="61"/>
      <c r="F44" s="61"/>
      <c r="G44" s="61"/>
      <c r="H44" s="61"/>
      <c r="I44" s="61"/>
      <c r="J44" s="61"/>
      <c r="K44" s="567"/>
      <c r="L44" s="61"/>
      <c r="M44" s="61"/>
      <c r="N44" s="61"/>
      <c r="O44" s="61"/>
      <c r="P44" s="61"/>
      <c r="Q44" s="61"/>
      <c r="R44" s="61"/>
      <c r="S44" s="83"/>
      <c r="T44" s="61"/>
      <c r="U44" s="91"/>
      <c r="V44" s="72"/>
      <c r="W44" s="72"/>
      <c r="X44" s="72"/>
      <c r="Y44" s="72"/>
      <c r="Z44" s="72"/>
      <c r="AA44" s="72"/>
      <c r="AB44" s="72"/>
      <c r="AC44" s="72"/>
      <c r="AD44" s="72"/>
      <c r="AE44" s="72"/>
      <c r="AF44" s="72"/>
      <c r="AG44" s="72"/>
      <c r="AH44" s="72"/>
      <c r="AI44" s="72"/>
      <c r="AJ44" s="72"/>
      <c r="AK44" s="72"/>
      <c r="AL44" s="83"/>
      <c r="AM44" s="62"/>
      <c r="AP44" s="325"/>
      <c r="AQ44" s="328"/>
      <c r="AR44" s="328"/>
      <c r="AS44" s="328"/>
      <c r="AT44" s="328"/>
      <c r="AU44" s="328"/>
      <c r="AV44" s="328"/>
      <c r="AW44" s="328"/>
      <c r="AX44" s="328"/>
      <c r="AY44" s="328"/>
      <c r="AZ44" s="328"/>
      <c r="BA44" s="325"/>
    </row>
    <row r="45" spans="2:53" ht="12.75" customHeight="1">
      <c r="B45" s="60"/>
      <c r="C45" s="292"/>
      <c r="D45" s="61"/>
      <c r="E45" s="61"/>
      <c r="F45" s="61"/>
      <c r="G45" s="61"/>
      <c r="H45" s="61"/>
      <c r="I45" s="61"/>
      <c r="J45" s="61"/>
      <c r="K45" s="567"/>
      <c r="L45" s="61"/>
      <c r="M45" s="61"/>
      <c r="N45" s="61"/>
      <c r="O45" s="61"/>
      <c r="P45" s="61"/>
      <c r="Q45" s="61"/>
      <c r="R45" s="61"/>
      <c r="S45" s="83"/>
      <c r="T45" s="61"/>
      <c r="U45" s="91"/>
      <c r="V45" s="72"/>
      <c r="W45" s="72"/>
      <c r="X45" s="72"/>
      <c r="Y45" s="72"/>
      <c r="Z45" s="72"/>
      <c r="AA45" s="72"/>
      <c r="AB45" s="72"/>
      <c r="AC45" s="72"/>
      <c r="AD45" s="72"/>
      <c r="AE45" s="72"/>
      <c r="AF45" s="72"/>
      <c r="AG45" s="72"/>
      <c r="AH45" s="72"/>
      <c r="AI45" s="72"/>
      <c r="AJ45" s="72"/>
      <c r="AK45" s="72"/>
      <c r="AL45" s="83"/>
      <c r="AM45" s="62"/>
      <c r="AP45" s="325"/>
      <c r="AQ45" s="325"/>
      <c r="AR45" s="325"/>
      <c r="AS45" s="325"/>
      <c r="AT45" s="325"/>
      <c r="AU45" s="325"/>
      <c r="AV45" s="328"/>
      <c r="AW45" s="325"/>
      <c r="AX45" s="325"/>
      <c r="AY45" s="325"/>
      <c r="AZ45" s="325"/>
      <c r="BA45" s="325"/>
    </row>
    <row r="46" spans="2:53" ht="12.75" customHeight="1">
      <c r="B46" s="60"/>
      <c r="C46" s="292"/>
      <c r="D46" s="61"/>
      <c r="E46" s="61"/>
      <c r="F46" s="61"/>
      <c r="G46" s="61"/>
      <c r="H46" s="61"/>
      <c r="I46" s="61"/>
      <c r="J46" s="61"/>
      <c r="K46" s="567"/>
      <c r="L46" s="61"/>
      <c r="M46" s="61"/>
      <c r="N46" s="61"/>
      <c r="O46" s="61"/>
      <c r="P46" s="61"/>
      <c r="Q46" s="61"/>
      <c r="R46" s="61"/>
      <c r="S46" s="83"/>
      <c r="T46" s="61"/>
      <c r="U46" s="91"/>
      <c r="V46" s="72"/>
      <c r="W46" s="72"/>
      <c r="X46" s="72"/>
      <c r="Y46" s="72"/>
      <c r="Z46" s="72"/>
      <c r="AA46" s="72"/>
      <c r="AB46" s="72"/>
      <c r="AC46" s="72"/>
      <c r="AD46" s="72"/>
      <c r="AE46" s="72"/>
      <c r="AF46" s="72"/>
      <c r="AG46" s="72"/>
      <c r="AH46" s="72"/>
      <c r="AI46" s="72"/>
      <c r="AJ46" s="72"/>
      <c r="AK46" s="72"/>
      <c r="AL46" s="83"/>
      <c r="AM46" s="62"/>
      <c r="AV46" s="325"/>
    </row>
    <row r="47" spans="2:53" ht="12.75" customHeight="1">
      <c r="B47" s="60"/>
      <c r="C47" s="292"/>
      <c r="D47" s="61"/>
      <c r="E47" s="61"/>
      <c r="F47" s="61"/>
      <c r="G47" s="61"/>
      <c r="H47" s="61"/>
      <c r="I47" s="61"/>
      <c r="J47" s="61"/>
      <c r="K47" s="567"/>
      <c r="L47" s="61"/>
      <c r="M47" s="61"/>
      <c r="N47" s="61"/>
      <c r="O47" s="61"/>
      <c r="P47" s="61"/>
      <c r="Q47" s="61"/>
      <c r="R47" s="61"/>
      <c r="S47" s="83"/>
      <c r="T47" s="61"/>
      <c r="U47" s="91"/>
      <c r="V47" s="72"/>
      <c r="W47" s="72"/>
      <c r="X47" s="72"/>
      <c r="Y47" s="72"/>
      <c r="Z47" s="72"/>
      <c r="AA47" s="72"/>
      <c r="AB47" s="72"/>
      <c r="AC47" s="72"/>
      <c r="AD47" s="72"/>
      <c r="AE47" s="72"/>
      <c r="AF47" s="72"/>
      <c r="AG47" s="72"/>
      <c r="AH47" s="72"/>
      <c r="AI47" s="72"/>
      <c r="AJ47" s="72"/>
      <c r="AK47" s="72"/>
      <c r="AL47" s="83"/>
      <c r="AM47" s="62"/>
    </row>
    <row r="48" spans="2:53" ht="12.75" customHeight="1">
      <c r="B48" s="60"/>
      <c r="C48" s="292"/>
      <c r="D48" s="61"/>
      <c r="E48" s="61"/>
      <c r="F48" s="61"/>
      <c r="G48" s="61"/>
      <c r="H48" s="61"/>
      <c r="I48" s="61"/>
      <c r="J48" s="61"/>
      <c r="K48" s="567"/>
      <c r="L48" s="61"/>
      <c r="M48" s="61"/>
      <c r="N48" s="61"/>
      <c r="O48" s="61"/>
      <c r="P48" s="61"/>
      <c r="Q48" s="61"/>
      <c r="R48" s="61"/>
      <c r="S48" s="83"/>
      <c r="T48" s="61"/>
      <c r="U48" s="91"/>
      <c r="V48" s="72"/>
      <c r="W48" s="72"/>
      <c r="X48" s="72"/>
      <c r="Y48" s="72"/>
      <c r="Z48" s="72"/>
      <c r="AA48" s="72"/>
      <c r="AB48" s="72"/>
      <c r="AC48" s="72"/>
      <c r="AD48" s="72"/>
      <c r="AE48" s="72"/>
      <c r="AF48" s="72"/>
      <c r="AG48" s="72"/>
      <c r="AH48" s="72"/>
      <c r="AI48" s="72"/>
      <c r="AJ48" s="72"/>
      <c r="AK48" s="72"/>
      <c r="AL48" s="83"/>
      <c r="AM48" s="62"/>
    </row>
    <row r="49" spans="2:41" ht="12.75" customHeight="1">
      <c r="B49" s="60"/>
      <c r="C49" s="292"/>
      <c r="D49" s="61"/>
      <c r="E49" s="61"/>
      <c r="F49" s="61"/>
      <c r="G49" s="61"/>
      <c r="H49" s="61"/>
      <c r="I49" s="61"/>
      <c r="J49" s="61"/>
      <c r="K49" s="567"/>
      <c r="L49" s="61"/>
      <c r="M49" s="61"/>
      <c r="N49" s="61"/>
      <c r="O49" s="61"/>
      <c r="P49" s="61"/>
      <c r="Q49" s="61"/>
      <c r="R49" s="61"/>
      <c r="S49" s="83"/>
      <c r="T49" s="61"/>
      <c r="U49" s="91"/>
      <c r="V49" s="72"/>
      <c r="W49" s="72"/>
      <c r="X49" s="72"/>
      <c r="Y49" s="72"/>
      <c r="Z49" s="72"/>
      <c r="AA49" s="72"/>
      <c r="AB49" s="72"/>
      <c r="AC49" s="72"/>
      <c r="AD49" s="72"/>
      <c r="AE49" s="72"/>
      <c r="AF49" s="72"/>
      <c r="AG49" s="72"/>
      <c r="AH49" s="72"/>
      <c r="AI49" s="72"/>
      <c r="AJ49" s="72"/>
      <c r="AK49" s="72"/>
      <c r="AL49" s="83"/>
      <c r="AM49" s="62"/>
    </row>
    <row r="50" spans="2:41" ht="12.75" customHeight="1">
      <c r="B50" s="60"/>
      <c r="C50" s="292"/>
      <c r="D50" s="61"/>
      <c r="E50" s="61"/>
      <c r="F50" s="61"/>
      <c r="G50" s="61"/>
      <c r="H50" s="61"/>
      <c r="I50" s="61"/>
      <c r="J50" s="61"/>
      <c r="K50" s="61"/>
      <c r="L50" s="61"/>
      <c r="M50" s="61"/>
      <c r="N50" s="61"/>
      <c r="O50" s="61"/>
      <c r="P50" s="61"/>
      <c r="Q50" s="61"/>
      <c r="R50" s="61"/>
      <c r="S50" s="83"/>
      <c r="T50" s="61"/>
      <c r="U50" s="91"/>
      <c r="V50" s="72"/>
      <c r="W50" s="72"/>
      <c r="X50" s="72"/>
      <c r="Y50" s="72"/>
      <c r="Z50" s="72"/>
      <c r="AA50" s="72"/>
      <c r="AB50" s="72"/>
      <c r="AC50" s="72"/>
      <c r="AD50" s="72"/>
      <c r="AE50" s="72"/>
      <c r="AF50" s="72"/>
      <c r="AG50" s="72"/>
      <c r="AH50" s="72"/>
      <c r="AI50" s="72"/>
      <c r="AJ50" s="72"/>
      <c r="AK50" s="72"/>
      <c r="AL50" s="83"/>
      <c r="AM50" s="62"/>
    </row>
    <row r="51" spans="2:41" ht="12.75" customHeight="1">
      <c r="B51" s="60"/>
      <c r="C51" s="292"/>
      <c r="D51" s="61"/>
      <c r="E51" s="61"/>
      <c r="F51" s="61"/>
      <c r="G51" s="61"/>
      <c r="H51" s="61"/>
      <c r="I51" s="61"/>
      <c r="J51" s="61"/>
      <c r="K51" s="61"/>
      <c r="L51" s="61"/>
      <c r="M51" s="61"/>
      <c r="N51" s="61"/>
      <c r="O51" s="61"/>
      <c r="P51" s="61"/>
      <c r="Q51" s="61"/>
      <c r="R51" s="61"/>
      <c r="S51" s="83"/>
      <c r="T51" s="61"/>
      <c r="U51" s="91"/>
      <c r="V51" s="72"/>
      <c r="W51" s="72"/>
      <c r="X51" s="72"/>
      <c r="Y51" s="72"/>
      <c r="Z51" s="72"/>
      <c r="AA51" s="72"/>
      <c r="AB51" s="72"/>
      <c r="AC51" s="72"/>
      <c r="AD51" s="72"/>
      <c r="AE51" s="72"/>
      <c r="AF51" s="72"/>
      <c r="AG51" s="72"/>
      <c r="AH51" s="72"/>
      <c r="AI51" s="72"/>
      <c r="AJ51" s="72"/>
      <c r="AK51" s="72"/>
      <c r="AL51" s="83"/>
      <c r="AM51" s="93"/>
      <c r="AN51" s="94"/>
      <c r="AO51" s="94"/>
    </row>
    <row r="52" spans="2:41" ht="15" customHeight="1">
      <c r="B52" s="60"/>
      <c r="C52" s="85"/>
      <c r="D52" s="80"/>
      <c r="E52" s="80"/>
      <c r="F52" s="80"/>
      <c r="G52" s="80"/>
      <c r="H52" s="80"/>
      <c r="I52" s="80"/>
      <c r="J52" s="80"/>
      <c r="K52" s="80"/>
      <c r="L52" s="80"/>
      <c r="M52" s="80"/>
      <c r="N52" s="80"/>
      <c r="O52" s="80"/>
      <c r="P52" s="80"/>
      <c r="Q52" s="80"/>
      <c r="R52" s="80"/>
      <c r="S52" s="87"/>
      <c r="T52" s="61"/>
      <c r="U52" s="85"/>
      <c r="V52" s="202"/>
      <c r="W52" s="202"/>
      <c r="X52" s="202"/>
      <c r="Y52" s="202"/>
      <c r="Z52" s="202"/>
      <c r="AA52" s="202"/>
      <c r="AB52" s="202"/>
      <c r="AC52" s="202"/>
      <c r="AD52" s="202"/>
      <c r="AE52" s="202"/>
      <c r="AF52" s="202"/>
      <c r="AG52" s="202"/>
      <c r="AH52" s="202"/>
      <c r="AI52" s="202"/>
      <c r="AJ52" s="202"/>
      <c r="AK52" s="202"/>
      <c r="AL52" s="87"/>
      <c r="AM52" s="93"/>
      <c r="AN52" s="94"/>
      <c r="AO52" s="94"/>
    </row>
    <row r="53" spans="2:41" ht="4.5" customHeight="1">
      <c r="B53" s="60"/>
      <c r="C53" s="148"/>
      <c r="D53" s="61"/>
      <c r="E53" s="61"/>
      <c r="F53" s="290"/>
      <c r="G53" s="290"/>
      <c r="H53" s="290"/>
      <c r="I53" s="290"/>
      <c r="J53" s="290"/>
      <c r="K53" s="290"/>
      <c r="L53" s="290"/>
      <c r="M53" s="290"/>
      <c r="N53" s="290"/>
      <c r="O53" s="290"/>
      <c r="P53" s="290"/>
      <c r="Q53" s="290"/>
      <c r="R53" s="290"/>
      <c r="S53" s="290"/>
      <c r="T53" s="290"/>
      <c r="U53" s="72"/>
      <c r="V53" s="148"/>
      <c r="W53" s="148"/>
      <c r="X53" s="148"/>
      <c r="Y53" s="148"/>
      <c r="Z53" s="148"/>
      <c r="AA53" s="148"/>
      <c r="AB53" s="148"/>
      <c r="AC53" s="148"/>
      <c r="AD53" s="148"/>
      <c r="AE53" s="148"/>
      <c r="AF53" s="148"/>
      <c r="AG53" s="148"/>
      <c r="AH53" s="148"/>
      <c r="AI53" s="148"/>
      <c r="AJ53" s="148"/>
      <c r="AK53" s="148"/>
      <c r="AL53" s="148"/>
      <c r="AM53" s="62"/>
    </row>
    <row r="54" spans="2:41" ht="10.5" customHeight="1">
      <c r="B54" s="60"/>
      <c r="C54" s="298"/>
      <c r="D54" s="299"/>
      <c r="E54" s="299"/>
      <c r="F54" s="299"/>
      <c r="G54" s="300"/>
      <c r="H54" s="323">
        <v>0</v>
      </c>
      <c r="I54" s="322"/>
      <c r="J54" s="322"/>
      <c r="K54" s="322"/>
      <c r="L54" s="322"/>
      <c r="M54" s="324"/>
      <c r="N54" s="322">
        <v>1</v>
      </c>
      <c r="O54" s="322"/>
      <c r="P54" s="322"/>
      <c r="Q54" s="322"/>
      <c r="R54" s="322"/>
      <c r="S54" s="322"/>
      <c r="T54" s="322"/>
      <c r="U54" s="568"/>
      <c r="V54" s="569">
        <v>3</v>
      </c>
      <c r="W54" s="569"/>
      <c r="X54" s="569"/>
      <c r="Y54" s="569"/>
      <c r="Z54" s="569"/>
      <c r="AA54" s="569"/>
      <c r="AB54" s="569"/>
      <c r="AC54" s="569"/>
      <c r="AD54" s="569"/>
      <c r="AE54" s="568"/>
      <c r="AF54" s="569">
        <v>5</v>
      </c>
      <c r="AG54" s="570"/>
      <c r="AH54" s="570"/>
      <c r="AI54" s="570"/>
      <c r="AJ54" s="570"/>
      <c r="AK54" s="570"/>
      <c r="AL54" s="301"/>
      <c r="AM54" s="62"/>
      <c r="AN54" s="94"/>
    </row>
    <row r="55" spans="2:41" ht="10.5" customHeight="1">
      <c r="B55" s="60"/>
      <c r="C55" s="323" t="s">
        <v>238</v>
      </c>
      <c r="D55" s="322"/>
      <c r="E55" s="299"/>
      <c r="F55" s="299"/>
      <c r="G55" s="300"/>
      <c r="H55" s="298" t="s">
        <v>713</v>
      </c>
      <c r="I55" s="299"/>
      <c r="J55" s="299"/>
      <c r="K55" s="299"/>
      <c r="L55" s="299"/>
      <c r="M55" s="299"/>
      <c r="N55" s="298" t="s">
        <v>717</v>
      </c>
      <c r="O55" s="299"/>
      <c r="P55" s="299"/>
      <c r="Q55" s="299"/>
      <c r="R55" s="299"/>
      <c r="S55" s="299"/>
      <c r="T55" s="299"/>
      <c r="U55" s="300"/>
      <c r="V55" s="299" t="s">
        <v>718</v>
      </c>
      <c r="W55" s="299"/>
      <c r="X55" s="299"/>
      <c r="Y55" s="299"/>
      <c r="Z55" s="570"/>
      <c r="AA55" s="570"/>
      <c r="AB55" s="570"/>
      <c r="AC55" s="570"/>
      <c r="AD55" s="570"/>
      <c r="AE55" s="571"/>
      <c r="AF55" s="570" t="s">
        <v>719</v>
      </c>
      <c r="AG55" s="570"/>
      <c r="AH55" s="570"/>
      <c r="AI55" s="570"/>
      <c r="AJ55" s="570"/>
      <c r="AK55" s="570"/>
      <c r="AL55" s="301"/>
      <c r="AM55" s="62"/>
      <c r="AN55" s="94"/>
    </row>
    <row r="56" spans="2:41" ht="10.5" customHeight="1">
      <c r="B56" s="60"/>
      <c r="C56" s="323" t="s">
        <v>706</v>
      </c>
      <c r="D56" s="322"/>
      <c r="E56" s="299"/>
      <c r="F56" s="299"/>
      <c r="G56" s="300"/>
      <c r="H56" s="297"/>
      <c r="I56" s="297"/>
      <c r="J56" s="297"/>
      <c r="K56" s="297"/>
      <c r="L56" s="297"/>
      <c r="M56" s="297"/>
      <c r="N56" s="298" t="s">
        <v>714</v>
      </c>
      <c r="O56" s="299"/>
      <c r="P56" s="299"/>
      <c r="Q56" s="299"/>
      <c r="R56" s="299"/>
      <c r="S56" s="299"/>
      <c r="T56" s="299"/>
      <c r="U56" s="571"/>
      <c r="V56" s="570" t="s">
        <v>715</v>
      </c>
      <c r="W56" s="570"/>
      <c r="X56" s="570"/>
      <c r="Y56" s="570"/>
      <c r="Z56" s="570"/>
      <c r="AA56" s="570"/>
      <c r="AB56" s="570"/>
      <c r="AC56" s="570"/>
      <c r="AD56" s="570"/>
      <c r="AE56" s="571"/>
      <c r="AF56" s="570" t="s">
        <v>716</v>
      </c>
      <c r="AG56" s="570"/>
      <c r="AH56" s="570"/>
      <c r="AI56" s="570"/>
      <c r="AJ56" s="570"/>
      <c r="AK56" s="570"/>
      <c r="AL56" s="301"/>
      <c r="AM56" s="62"/>
      <c r="AN56" s="94"/>
    </row>
    <row r="57" spans="2:41" ht="10.5" customHeight="1">
      <c r="B57" s="60"/>
      <c r="C57" s="323" t="s">
        <v>707</v>
      </c>
      <c r="D57" s="322"/>
      <c r="E57" s="299"/>
      <c r="F57" s="299"/>
      <c r="G57" s="300"/>
      <c r="H57" s="297"/>
      <c r="I57" s="297"/>
      <c r="J57" s="297"/>
      <c r="K57" s="297"/>
      <c r="L57" s="297"/>
      <c r="M57" s="297"/>
      <c r="N57" s="298" t="s">
        <v>720</v>
      </c>
      <c r="O57" s="299"/>
      <c r="P57" s="299"/>
      <c r="Q57" s="299"/>
      <c r="R57" s="299"/>
      <c r="S57" s="299"/>
      <c r="T57" s="299"/>
      <c r="U57" s="300"/>
      <c r="V57" s="299" t="s">
        <v>721</v>
      </c>
      <c r="W57" s="299"/>
      <c r="X57" s="299"/>
      <c r="Y57" s="299"/>
      <c r="Z57" s="570"/>
      <c r="AA57" s="570"/>
      <c r="AB57" s="570"/>
      <c r="AC57" s="570"/>
      <c r="AD57" s="570"/>
      <c r="AE57" s="571"/>
      <c r="AF57" s="570" t="s">
        <v>722</v>
      </c>
      <c r="AG57" s="570"/>
      <c r="AH57" s="570"/>
      <c r="AI57" s="570"/>
      <c r="AJ57" s="570"/>
      <c r="AK57" s="570"/>
      <c r="AL57" s="301"/>
      <c r="AM57" s="62"/>
      <c r="AN57" s="94"/>
    </row>
    <row r="58" spans="2:41" ht="10.5" customHeight="1">
      <c r="B58" s="60"/>
      <c r="C58" s="323" t="s">
        <v>708</v>
      </c>
      <c r="D58" s="322"/>
      <c r="E58" s="299"/>
      <c r="F58" s="299"/>
      <c r="G58" s="300"/>
      <c r="H58" s="297"/>
      <c r="I58" s="297"/>
      <c r="J58" s="297"/>
      <c r="K58" s="297"/>
      <c r="L58" s="297"/>
      <c r="M58" s="297"/>
      <c r="N58" s="298" t="s">
        <v>723</v>
      </c>
      <c r="O58" s="299"/>
      <c r="P58" s="299"/>
      <c r="Q58" s="299"/>
      <c r="R58" s="299"/>
      <c r="S58" s="299"/>
      <c r="T58" s="299"/>
      <c r="U58" s="300"/>
      <c r="V58" s="299" t="s">
        <v>724</v>
      </c>
      <c r="W58" s="299"/>
      <c r="X58" s="299"/>
      <c r="Y58" s="299"/>
      <c r="Z58" s="570"/>
      <c r="AA58" s="570"/>
      <c r="AB58" s="570"/>
      <c r="AC58" s="570"/>
      <c r="AD58" s="570"/>
      <c r="AE58" s="571"/>
      <c r="AF58" s="570" t="s">
        <v>725</v>
      </c>
      <c r="AG58" s="570"/>
      <c r="AH58" s="570"/>
      <c r="AI58" s="570"/>
      <c r="AJ58" s="570"/>
      <c r="AK58" s="570"/>
      <c r="AL58" s="301"/>
      <c r="AM58" s="62"/>
      <c r="AN58" s="94"/>
    </row>
    <row r="59" spans="2:41" ht="10.5" customHeight="1">
      <c r="B59" s="60"/>
      <c r="C59" s="323" t="s">
        <v>709</v>
      </c>
      <c r="D59" s="322"/>
      <c r="E59" s="299"/>
      <c r="F59" s="299"/>
      <c r="G59" s="300"/>
      <c r="H59" s="297"/>
      <c r="I59" s="297"/>
      <c r="J59" s="297"/>
      <c r="K59" s="297"/>
      <c r="L59" s="297"/>
      <c r="M59" s="297"/>
      <c r="N59" s="298" t="s">
        <v>729</v>
      </c>
      <c r="O59" s="299"/>
      <c r="P59" s="299"/>
      <c r="Q59" s="299"/>
      <c r="R59" s="299"/>
      <c r="S59" s="299"/>
      <c r="T59" s="299"/>
      <c r="U59" s="300"/>
      <c r="V59" s="299" t="s">
        <v>724</v>
      </c>
      <c r="W59" s="299"/>
      <c r="X59" s="299"/>
      <c r="Y59" s="299"/>
      <c r="Z59" s="570"/>
      <c r="AA59" s="570"/>
      <c r="AB59" s="570"/>
      <c r="AC59" s="570"/>
      <c r="AD59" s="570"/>
      <c r="AE59" s="571"/>
      <c r="AF59" s="570" t="s">
        <v>730</v>
      </c>
      <c r="AG59" s="570"/>
      <c r="AH59" s="570"/>
      <c r="AI59" s="570"/>
      <c r="AJ59" s="570"/>
      <c r="AK59" s="570"/>
      <c r="AL59" s="301"/>
      <c r="AM59" s="62"/>
      <c r="AN59" s="94"/>
    </row>
    <row r="60" spans="2:41" ht="10.5" customHeight="1">
      <c r="B60" s="60"/>
      <c r="C60" s="323" t="s">
        <v>702</v>
      </c>
      <c r="D60" s="322"/>
      <c r="E60" s="299"/>
      <c r="F60" s="299"/>
      <c r="G60" s="300"/>
      <c r="H60" s="297"/>
      <c r="I60" s="297"/>
      <c r="J60" s="297"/>
      <c r="K60" s="297"/>
      <c r="L60" s="297"/>
      <c r="M60" s="297"/>
      <c r="N60" s="298" t="s">
        <v>726</v>
      </c>
      <c r="O60" s="299"/>
      <c r="P60" s="299"/>
      <c r="Q60" s="299"/>
      <c r="R60" s="299"/>
      <c r="S60" s="299"/>
      <c r="T60" s="299"/>
      <c r="U60" s="300"/>
      <c r="V60" s="299" t="s">
        <v>727</v>
      </c>
      <c r="W60" s="299"/>
      <c r="X60" s="299"/>
      <c r="Y60" s="299"/>
      <c r="Z60" s="570"/>
      <c r="AA60" s="570"/>
      <c r="AB60" s="570"/>
      <c r="AC60" s="570"/>
      <c r="AD60" s="570"/>
      <c r="AE60" s="571"/>
      <c r="AF60" s="570" t="s">
        <v>728</v>
      </c>
      <c r="AG60" s="570"/>
      <c r="AH60" s="570"/>
      <c r="AI60" s="570"/>
      <c r="AJ60" s="570"/>
      <c r="AK60" s="570"/>
      <c r="AL60" s="301"/>
      <c r="AM60" s="62"/>
      <c r="AN60" s="94"/>
    </row>
    <row r="61" spans="2:41" ht="10.5" customHeight="1">
      <c r="B61" s="60"/>
      <c r="C61" s="323" t="s">
        <v>701</v>
      </c>
      <c r="D61" s="322"/>
      <c r="E61" s="299"/>
      <c r="F61" s="299"/>
      <c r="G61" s="300"/>
      <c r="H61" s="297"/>
      <c r="I61" s="297"/>
      <c r="J61" s="297"/>
      <c r="K61" s="297"/>
      <c r="L61" s="297"/>
      <c r="M61" s="297"/>
      <c r="N61" s="298" t="s">
        <v>745</v>
      </c>
      <c r="O61" s="299"/>
      <c r="P61" s="299"/>
      <c r="Q61" s="299"/>
      <c r="R61" s="299"/>
      <c r="S61" s="299"/>
      <c r="T61" s="299"/>
      <c r="U61" s="300"/>
      <c r="V61" s="299" t="s">
        <v>731</v>
      </c>
      <c r="W61" s="299"/>
      <c r="X61" s="299"/>
      <c r="Y61" s="299"/>
      <c r="Z61" s="570"/>
      <c r="AA61" s="570"/>
      <c r="AB61" s="570"/>
      <c r="AC61" s="570"/>
      <c r="AD61" s="570"/>
      <c r="AE61" s="571"/>
      <c r="AF61" s="570" t="s">
        <v>732</v>
      </c>
      <c r="AG61" s="570"/>
      <c r="AH61" s="570"/>
      <c r="AI61" s="570"/>
      <c r="AJ61" s="570"/>
      <c r="AK61" s="570"/>
      <c r="AL61" s="301"/>
      <c r="AM61" s="62"/>
      <c r="AN61" s="94"/>
    </row>
    <row r="62" spans="2:41" ht="10.5" customHeight="1">
      <c r="B62" s="60"/>
      <c r="C62" s="323" t="s">
        <v>710</v>
      </c>
      <c r="D62" s="322"/>
      <c r="E62" s="299"/>
      <c r="F62" s="299"/>
      <c r="G62" s="300"/>
      <c r="H62" s="298" t="s">
        <v>733</v>
      </c>
      <c r="I62" s="299"/>
      <c r="J62" s="299"/>
      <c r="K62" s="299"/>
      <c r="L62" s="299"/>
      <c r="M62" s="300"/>
      <c r="N62" s="298" t="s">
        <v>734</v>
      </c>
      <c r="O62" s="299"/>
      <c r="P62" s="299"/>
      <c r="Q62" s="299"/>
      <c r="R62" s="299"/>
      <c r="S62" s="299"/>
      <c r="T62" s="299"/>
      <c r="U62" s="300"/>
      <c r="V62" s="299" t="s">
        <v>735</v>
      </c>
      <c r="W62" s="299"/>
      <c r="X62" s="299"/>
      <c r="Y62" s="299"/>
      <c r="Z62" s="570"/>
      <c r="AA62" s="570"/>
      <c r="AB62" s="570"/>
      <c r="AC62" s="570"/>
      <c r="AD62" s="570"/>
      <c r="AE62" s="571"/>
      <c r="AF62" s="570" t="s">
        <v>736</v>
      </c>
      <c r="AG62" s="570"/>
      <c r="AH62" s="570"/>
      <c r="AI62" s="570"/>
      <c r="AJ62" s="570"/>
      <c r="AK62" s="570"/>
      <c r="AL62" s="301"/>
      <c r="AM62" s="62"/>
      <c r="AN62" s="94"/>
    </row>
    <row r="63" spans="2:41" ht="10.5" customHeight="1">
      <c r="B63" s="60"/>
      <c r="C63" s="323" t="s">
        <v>711</v>
      </c>
      <c r="D63" s="322"/>
      <c r="E63" s="299"/>
      <c r="F63" s="299"/>
      <c r="G63" s="300"/>
      <c r="H63" s="298" t="s">
        <v>713</v>
      </c>
      <c r="I63" s="299"/>
      <c r="J63" s="299"/>
      <c r="K63" s="299"/>
      <c r="L63" s="299"/>
      <c r="M63" s="300"/>
      <c r="N63" s="298" t="s">
        <v>737</v>
      </c>
      <c r="O63" s="299"/>
      <c r="P63" s="299"/>
      <c r="Q63" s="299"/>
      <c r="R63" s="299"/>
      <c r="S63" s="299"/>
      <c r="T63" s="299"/>
      <c r="U63" s="300"/>
      <c r="V63" s="299" t="s">
        <v>738</v>
      </c>
      <c r="W63" s="299"/>
      <c r="X63" s="299"/>
      <c r="Y63" s="299"/>
      <c r="Z63" s="570"/>
      <c r="AA63" s="570"/>
      <c r="AB63" s="570"/>
      <c r="AC63" s="570"/>
      <c r="AD63" s="570"/>
      <c r="AE63" s="571"/>
      <c r="AF63" s="570" t="s">
        <v>739</v>
      </c>
      <c r="AG63" s="570"/>
      <c r="AH63" s="570"/>
      <c r="AI63" s="570"/>
      <c r="AJ63" s="570"/>
      <c r="AK63" s="570"/>
      <c r="AL63" s="301"/>
      <c r="AM63" s="62"/>
      <c r="AN63" s="94"/>
    </row>
    <row r="64" spans="2:41" ht="10.5" customHeight="1">
      <c r="B64" s="60"/>
      <c r="C64" s="323" t="s">
        <v>703</v>
      </c>
      <c r="D64" s="322"/>
      <c r="E64" s="299"/>
      <c r="F64" s="299"/>
      <c r="G64" s="300"/>
      <c r="H64" s="298" t="s">
        <v>740</v>
      </c>
      <c r="I64" s="299"/>
      <c r="J64" s="299"/>
      <c r="K64" s="299"/>
      <c r="L64" s="299"/>
      <c r="M64" s="300"/>
      <c r="N64" s="298" t="s">
        <v>741</v>
      </c>
      <c r="O64" s="299"/>
      <c r="P64" s="299"/>
      <c r="Q64" s="299"/>
      <c r="R64" s="299"/>
      <c r="S64" s="299"/>
      <c r="T64" s="299"/>
      <c r="U64" s="300"/>
      <c r="V64" s="299" t="s">
        <v>742</v>
      </c>
      <c r="W64" s="299"/>
      <c r="X64" s="299"/>
      <c r="Y64" s="299"/>
      <c r="Z64" s="570"/>
      <c r="AA64" s="570"/>
      <c r="AB64" s="570"/>
      <c r="AC64" s="570"/>
      <c r="AD64" s="570"/>
      <c r="AE64" s="571"/>
      <c r="AF64" s="570" t="s">
        <v>743</v>
      </c>
      <c r="AG64" s="570"/>
      <c r="AH64" s="570"/>
      <c r="AI64" s="570"/>
      <c r="AJ64" s="570"/>
      <c r="AK64" s="1219"/>
      <c r="AL64" s="303"/>
      <c r="AM64" s="62"/>
      <c r="AN64" s="94"/>
    </row>
    <row r="65" spans="2:39" ht="12.75" customHeight="1">
      <c r="B65" s="60"/>
      <c r="C65" s="148"/>
      <c r="D65" s="61"/>
      <c r="E65" s="61"/>
      <c r="F65" s="290"/>
      <c r="G65" s="290"/>
      <c r="H65" s="290"/>
      <c r="I65" s="290"/>
      <c r="J65" s="290"/>
      <c r="K65" s="290"/>
      <c r="L65" s="290"/>
      <c r="M65" s="290"/>
      <c r="N65" s="290"/>
      <c r="O65" s="290"/>
      <c r="P65" s="290"/>
      <c r="Q65" s="290"/>
      <c r="R65" s="290"/>
      <c r="S65" s="290"/>
      <c r="T65" s="290"/>
      <c r="U65" s="72"/>
      <c r="V65" s="148"/>
      <c r="W65" s="148"/>
      <c r="X65" s="148"/>
      <c r="Y65" s="148"/>
      <c r="Z65" s="148"/>
      <c r="AA65" s="148"/>
      <c r="AB65" s="148"/>
      <c r="AC65" s="148"/>
      <c r="AD65" s="148"/>
      <c r="AE65" s="148"/>
      <c r="AF65" s="148"/>
      <c r="AG65" s="148"/>
      <c r="AH65" s="148"/>
      <c r="AI65" s="148"/>
      <c r="AJ65" s="148"/>
      <c r="AK65" s="72"/>
      <c r="AL65" s="327" t="s">
        <v>770</v>
      </c>
      <c r="AM65" s="62"/>
    </row>
    <row r="66" spans="2:39" ht="4.5" customHeight="1">
      <c r="B66" s="60"/>
      <c r="C66" s="296"/>
      <c r="D66" s="66"/>
      <c r="E66" s="66"/>
      <c r="F66" s="307"/>
      <c r="G66" s="307"/>
      <c r="H66" s="307"/>
      <c r="I66" s="307"/>
      <c r="J66" s="307"/>
      <c r="K66" s="307"/>
      <c r="L66" s="307"/>
      <c r="M66" s="307"/>
      <c r="N66" s="307"/>
      <c r="O66" s="307"/>
      <c r="P66" s="307"/>
      <c r="Q66" s="307"/>
      <c r="R66" s="307"/>
      <c r="S66" s="307"/>
      <c r="T66" s="307"/>
      <c r="U66" s="291"/>
      <c r="V66" s="149"/>
      <c r="W66" s="149"/>
      <c r="X66" s="149"/>
      <c r="Y66" s="149"/>
      <c r="Z66" s="149"/>
      <c r="AA66" s="149"/>
      <c r="AB66" s="149"/>
      <c r="AC66" s="149"/>
      <c r="AD66" s="149"/>
      <c r="AE66" s="149"/>
      <c r="AF66" s="149"/>
      <c r="AG66" s="149"/>
      <c r="AH66" s="149"/>
      <c r="AI66" s="149"/>
      <c r="AJ66" s="149"/>
      <c r="AK66" s="149"/>
      <c r="AL66" s="308"/>
      <c r="AM66" s="62"/>
    </row>
    <row r="67" spans="2:39" ht="49.95" customHeight="1">
      <c r="B67" s="60"/>
      <c r="C67" s="292"/>
      <c r="D67" s="61"/>
      <c r="E67" s="306" t="s">
        <v>773</v>
      </c>
      <c r="F67" s="1093"/>
      <c r="G67" s="1094"/>
      <c r="H67" s="1094"/>
      <c r="I67" s="1094"/>
      <c r="J67" s="1094"/>
      <c r="K67" s="1094"/>
      <c r="L67" s="1094"/>
      <c r="M67" s="1094"/>
      <c r="N67" s="1094"/>
      <c r="O67" s="1094"/>
      <c r="P67" s="1094"/>
      <c r="Q67" s="1094"/>
      <c r="R67" s="1094"/>
      <c r="S67" s="1094"/>
      <c r="T67" s="1094"/>
      <c r="U67" s="1094"/>
      <c r="V67" s="1094"/>
      <c r="W67" s="1094"/>
      <c r="X67" s="1094"/>
      <c r="Y67" s="1094"/>
      <c r="Z67" s="1094"/>
      <c r="AA67" s="1094"/>
      <c r="AB67" s="1094"/>
      <c r="AC67" s="1094"/>
      <c r="AD67" s="1094"/>
      <c r="AE67" s="1094"/>
      <c r="AF67" s="1095"/>
      <c r="AG67" s="330"/>
      <c r="AH67" s="1096" t="s">
        <v>779</v>
      </c>
      <c r="AI67" s="1097"/>
      <c r="AJ67" s="1097"/>
      <c r="AK67" s="1098"/>
      <c r="AL67" s="302"/>
      <c r="AM67" s="62"/>
    </row>
    <row r="68" spans="2:39" ht="4.5" customHeight="1">
      <c r="B68" s="60"/>
      <c r="C68" s="293"/>
      <c r="D68" s="80"/>
      <c r="E68" s="80"/>
      <c r="F68" s="294"/>
      <c r="G68" s="294"/>
      <c r="H68" s="294"/>
      <c r="I68" s="294"/>
      <c r="J68" s="294"/>
      <c r="K68" s="294"/>
      <c r="L68" s="294"/>
      <c r="M68" s="294"/>
      <c r="N68" s="294"/>
      <c r="O68" s="294"/>
      <c r="P68" s="294"/>
      <c r="Q68" s="294"/>
      <c r="R68" s="294"/>
      <c r="S68" s="294"/>
      <c r="T68" s="294"/>
      <c r="U68" s="202"/>
      <c r="V68" s="295"/>
      <c r="W68" s="295"/>
      <c r="X68" s="295"/>
      <c r="Y68" s="295"/>
      <c r="Z68" s="295"/>
      <c r="AA68" s="295"/>
      <c r="AB68" s="295"/>
      <c r="AC68" s="295"/>
      <c r="AD68" s="295"/>
      <c r="AE68" s="295"/>
      <c r="AF68" s="295"/>
      <c r="AG68" s="295"/>
      <c r="AH68" s="295"/>
      <c r="AI68" s="295"/>
      <c r="AJ68" s="295"/>
      <c r="AK68" s="295"/>
      <c r="AL68" s="309"/>
      <c r="AM68" s="62"/>
    </row>
    <row r="69" spans="2:39" ht="4.95" customHeight="1" thickBot="1">
      <c r="B69" s="99"/>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100"/>
    </row>
  </sheetData>
  <sheetProtection sheet="1" selectLockedCells="1"/>
  <mergeCells count="42">
    <mergeCell ref="G9:I9"/>
    <mergeCell ref="O9:Q9"/>
    <mergeCell ref="G11:H11"/>
    <mergeCell ref="P11:Q11"/>
    <mergeCell ref="I24:K24"/>
    <mergeCell ref="P24:V24"/>
    <mergeCell ref="G15:V20"/>
    <mergeCell ref="M13:N13"/>
    <mergeCell ref="G13:H13"/>
    <mergeCell ref="S13:U13"/>
    <mergeCell ref="N28:N34"/>
    <mergeCell ref="AO2:AO3"/>
    <mergeCell ref="AQ2:AQ3"/>
    <mergeCell ref="AC28:AC34"/>
    <mergeCell ref="P28:P34"/>
    <mergeCell ref="Q28:Q34"/>
    <mergeCell ref="R28:R34"/>
    <mergeCell ref="AI3:AM3"/>
    <mergeCell ref="K2:AE3"/>
    <mergeCell ref="AI2:AM2"/>
    <mergeCell ref="K28:K34"/>
    <mergeCell ref="L28:L34"/>
    <mergeCell ref="AB28:AB34"/>
    <mergeCell ref="Z7:AK24"/>
    <mergeCell ref="O7:V7"/>
    <mergeCell ref="D7:L7"/>
    <mergeCell ref="D35:H35"/>
    <mergeCell ref="D36:H36"/>
    <mergeCell ref="F67:AF67"/>
    <mergeCell ref="AH67:AK67"/>
    <mergeCell ref="AE28:AE34"/>
    <mergeCell ref="AJ28:AJ34"/>
    <mergeCell ref="AK28:AK34"/>
    <mergeCell ref="AF28:AF34"/>
    <mergeCell ref="AG28:AG34"/>
    <mergeCell ref="AH28:AH34"/>
    <mergeCell ref="AI28:AI34"/>
    <mergeCell ref="AD28:AD34"/>
    <mergeCell ref="I28:I34"/>
    <mergeCell ref="J28:J34"/>
    <mergeCell ref="O28:O34"/>
    <mergeCell ref="M28:M34"/>
  </mergeCells>
  <conditionalFormatting sqref="D7 G9 G11 G13 M13 S13 P11 O9 I24 P24 D35:R36 AB35:AK36">
    <cfRule type="notContainsBlanks" dxfId="5" priority="4">
      <formula>LEN(TRIM(D7))&gt;0</formula>
    </cfRule>
  </conditionalFormatting>
  <conditionalFormatting sqref="O7:V7">
    <cfRule type="containsText" dxfId="4" priority="3" operator="containsText" text="bitte wählen!">
      <formula>NOT(ISERROR(SEARCH("bitte wählen!",O7)))</formula>
    </cfRule>
  </conditionalFormatting>
  <conditionalFormatting sqref="F67:AF67">
    <cfRule type="notContainsBlanks" dxfId="3" priority="2">
      <formula>LEN(TRIM(F67))&gt;0</formula>
    </cfRule>
  </conditionalFormatting>
  <conditionalFormatting sqref="Z7:AK24">
    <cfRule type="containsBlanks" dxfId="2" priority="1">
      <formula>LEN(TRIM(Z7))=0</formula>
    </cfRule>
  </conditionalFormatting>
  <hyperlinks>
    <hyperlink ref="AQ2" location="'8_untappd'!A1" tooltip="Weiter zu Untappd" display="ð" xr:uid="{00000000-0004-0000-0B00-000000000000}"/>
    <hyperlink ref="AO2" location="'6_lagerbericht'!G8" tooltip="zurück zum Lagerbericht" display="ï" xr:uid="{00000000-0004-0000-0B00-000001000000}"/>
    <hyperlink ref="AP2" location="start!A1" tooltip="zur Startseite" display="ñ" xr:uid="{00000000-0004-0000-0B00-000002000000}"/>
  </hyperlinks>
  <printOptions horizontalCentered="1"/>
  <pageMargins left="0.70866141732283472" right="0.70866141732283472" top="0.78740157480314965" bottom="0.78740157480314965" header="0.51181102362204722" footer="0.51181102362204722"/>
  <pageSetup paperSize="9" orientation="portrait" r:id="rId1"/>
  <headerFooter alignWithMargins="0">
    <oddFooter>&amp;R&amp;"Arial,Fett"www.bierbrauerei.net</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AM146"/>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M2" sqref="AM2:AM3"/>
    </sheetView>
  </sheetViews>
  <sheetFormatPr baseColWidth="10" defaultColWidth="2.88671875" defaultRowHeight="15" customHeight="1"/>
  <cols>
    <col min="1" max="2" width="1.109375" style="51" customWidth="1"/>
    <col min="3" max="3" width="0.44140625" style="51" customWidth="1"/>
    <col min="4" max="4" width="3.33203125" style="51" customWidth="1"/>
    <col min="5" max="5" width="2.88671875" style="51" customWidth="1"/>
    <col min="6" max="6" width="1" style="51" customWidth="1"/>
    <col min="7" max="9" width="2.88671875" style="51" customWidth="1"/>
    <col min="10" max="10" width="3.6640625" style="51" customWidth="1"/>
    <col min="11" max="14" width="2.88671875" style="51" customWidth="1"/>
    <col min="15" max="15" width="5.109375" style="51" customWidth="1"/>
    <col min="16" max="16" width="1" style="51" customWidth="1"/>
    <col min="17" max="17" width="3.44140625" style="51" customWidth="1"/>
    <col min="18" max="18" width="2.109375" style="51" customWidth="1"/>
    <col min="19" max="19" width="3.109375" style="51" customWidth="1"/>
    <col min="20" max="20" width="2.88671875" style="51" customWidth="1"/>
    <col min="21" max="21" width="1" style="51" customWidth="1"/>
    <col min="22" max="30" width="2.88671875" style="51" customWidth="1"/>
    <col min="31" max="31" width="4.109375" style="51" customWidth="1"/>
    <col min="32" max="32" width="1" style="51" customWidth="1"/>
    <col min="33" max="33" width="3.44140625" style="51" customWidth="1"/>
    <col min="34" max="34" width="1.6640625" style="51" customWidth="1"/>
    <col min="35" max="35" width="1.109375" style="51" customWidth="1"/>
    <col min="36" max="36" width="2.88671875" style="51" customWidth="1"/>
    <col min="37" max="39" width="3.109375" style="51" customWidth="1"/>
    <col min="40" max="16384" width="2.88671875" style="51"/>
  </cols>
  <sheetData>
    <row r="1" spans="2:39" ht="6" customHeight="1" thickBot="1"/>
    <row r="2" spans="2:39" ht="15" customHeight="1">
      <c r="B2" s="220"/>
      <c r="C2" s="221"/>
      <c r="D2" s="221"/>
      <c r="E2" s="221"/>
      <c r="F2" s="221"/>
      <c r="G2" s="221"/>
      <c r="H2" s="221"/>
      <c r="I2" s="221"/>
      <c r="J2" s="221"/>
      <c r="K2" s="222"/>
      <c r="L2" s="885" t="s">
        <v>780</v>
      </c>
      <c r="M2" s="886"/>
      <c r="N2" s="886"/>
      <c r="O2" s="886"/>
      <c r="P2" s="886"/>
      <c r="Q2" s="886"/>
      <c r="R2" s="886"/>
      <c r="S2" s="886"/>
      <c r="T2" s="886"/>
      <c r="U2" s="886"/>
      <c r="V2" s="886"/>
      <c r="W2" s="886"/>
      <c r="X2" s="886"/>
      <c r="Y2" s="886"/>
      <c r="Z2" s="886"/>
      <c r="AA2" s="887"/>
      <c r="AB2" s="52"/>
      <c r="AC2" s="52"/>
      <c r="AD2" s="419" t="s">
        <v>15</v>
      </c>
      <c r="AE2" s="883">
        <f>rechenfibel!AD2</f>
        <v>43590</v>
      </c>
      <c r="AF2" s="981"/>
      <c r="AG2" s="981"/>
      <c r="AH2" s="981"/>
      <c r="AI2" s="982"/>
      <c r="AK2" s="877" t="s">
        <v>246</v>
      </c>
      <c r="AL2" s="439" t="s">
        <v>832</v>
      </c>
      <c r="AM2" s="879" t="s">
        <v>242</v>
      </c>
    </row>
    <row r="3" spans="2:39" ht="15" customHeight="1" thickBot="1">
      <c r="B3" s="53"/>
      <c r="C3" s="54"/>
      <c r="D3" s="54"/>
      <c r="E3" s="54"/>
      <c r="F3" s="216"/>
      <c r="G3" s="55"/>
      <c r="H3" s="54"/>
      <c r="I3" s="54"/>
      <c r="J3" s="54"/>
      <c r="K3" s="223"/>
      <c r="L3" s="888"/>
      <c r="M3" s="889"/>
      <c r="N3" s="889"/>
      <c r="O3" s="889"/>
      <c r="P3" s="889"/>
      <c r="Q3" s="889"/>
      <c r="R3" s="889"/>
      <c r="S3" s="889"/>
      <c r="T3" s="889"/>
      <c r="U3" s="889"/>
      <c r="V3" s="889"/>
      <c r="W3" s="889"/>
      <c r="X3" s="889"/>
      <c r="Y3" s="889"/>
      <c r="Z3" s="889"/>
      <c r="AA3" s="890"/>
      <c r="AD3" s="56" t="s">
        <v>22</v>
      </c>
      <c r="AE3" s="906">
        <f>rechenfibel!AD3</f>
        <v>43556</v>
      </c>
      <c r="AF3" s="906"/>
      <c r="AG3" s="906"/>
      <c r="AH3" s="906"/>
      <c r="AI3" s="907"/>
      <c r="AK3" s="878"/>
      <c r="AL3" s="441"/>
      <c r="AM3" s="880"/>
    </row>
    <row r="4" spans="2:39" ht="3.75" customHeight="1" thickBot="1">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row>
    <row r="5" spans="2:39" ht="4.5" customHeight="1">
      <c r="B5" s="60"/>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2"/>
    </row>
    <row r="6" spans="2:39" ht="15" customHeight="1">
      <c r="B6" s="60"/>
      <c r="C6" s="1127" t="s">
        <v>781</v>
      </c>
      <c r="D6" s="1128"/>
      <c r="E6" s="1128"/>
      <c r="F6" s="1128"/>
      <c r="G6" s="1128"/>
      <c r="H6" s="1128"/>
      <c r="I6" s="1128"/>
      <c r="J6" s="1128"/>
      <c r="K6" s="1128"/>
      <c r="L6" s="1128"/>
      <c r="M6" s="1128"/>
      <c r="N6" s="1128"/>
      <c r="O6" s="1128"/>
      <c r="P6" s="1128"/>
      <c r="Q6" s="1128"/>
      <c r="R6" s="1128"/>
      <c r="S6" s="1128"/>
      <c r="T6" s="1128"/>
      <c r="U6" s="1128"/>
      <c r="V6" s="1128"/>
      <c r="W6" s="1128"/>
      <c r="X6" s="1128"/>
      <c r="Y6" s="1128"/>
      <c r="Z6" s="1128"/>
      <c r="AA6" s="1128"/>
      <c r="AB6" s="1128"/>
      <c r="AC6" s="1128"/>
      <c r="AD6" s="1128"/>
      <c r="AE6" s="1128"/>
      <c r="AF6" s="1128"/>
      <c r="AG6" s="1128"/>
      <c r="AH6" s="1129"/>
      <c r="AI6" s="62"/>
    </row>
    <row r="7" spans="2:39" ht="4.5" customHeight="1">
      <c r="B7" s="60"/>
      <c r="C7" s="331"/>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332"/>
      <c r="AI7" s="62"/>
    </row>
    <row r="8" spans="2:39" ht="15" customHeight="1">
      <c r="B8" s="60"/>
      <c r="C8" s="331"/>
      <c r="D8" s="166" t="s">
        <v>782</v>
      </c>
      <c r="E8" s="166"/>
      <c r="F8" s="167"/>
      <c r="G8" s="333"/>
      <c r="H8" s="333"/>
      <c r="I8" s="333"/>
      <c r="J8" s="333"/>
      <c r="K8" s="333"/>
      <c r="L8" s="333"/>
      <c r="M8" s="333"/>
      <c r="N8" s="333"/>
      <c r="O8" s="333"/>
      <c r="P8" s="333"/>
      <c r="Q8" s="333"/>
      <c r="R8" s="333"/>
      <c r="S8" s="333"/>
      <c r="T8" s="166"/>
      <c r="U8" s="166"/>
      <c r="V8" s="166"/>
      <c r="W8" s="167"/>
      <c r="X8" s="334"/>
      <c r="Y8" s="333"/>
      <c r="Z8" s="333"/>
      <c r="AA8" s="333"/>
      <c r="AB8" s="333"/>
      <c r="AC8" s="333"/>
      <c r="AD8" s="333"/>
      <c r="AE8" s="333"/>
      <c r="AF8" s="333"/>
      <c r="AG8" s="333"/>
      <c r="AH8" s="190"/>
      <c r="AI8" s="62"/>
    </row>
    <row r="9" spans="2:39" ht="4.5" customHeight="1">
      <c r="B9" s="60"/>
      <c r="C9" s="331"/>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332"/>
      <c r="AI9" s="62"/>
    </row>
    <row r="10" spans="2:39" ht="15" customHeight="1">
      <c r="B10" s="60"/>
      <c r="C10" s="331"/>
      <c r="D10" s="166"/>
      <c r="E10" s="166"/>
      <c r="F10" s="167"/>
      <c r="G10" s="335"/>
      <c r="H10" s="335"/>
      <c r="I10" s="335"/>
      <c r="J10" s="167"/>
      <c r="K10" s="333"/>
      <c r="L10" s="333"/>
      <c r="M10" s="333"/>
      <c r="N10" s="333"/>
      <c r="O10" s="333"/>
      <c r="P10" s="333"/>
      <c r="Q10" s="333"/>
      <c r="R10" s="333"/>
      <c r="S10" s="333"/>
      <c r="T10" s="166"/>
      <c r="U10" s="166"/>
      <c r="V10" s="166"/>
      <c r="W10" s="167"/>
      <c r="X10" s="333"/>
      <c r="Y10" s="333"/>
      <c r="Z10" s="333"/>
      <c r="AA10" s="333"/>
      <c r="AB10" s="333"/>
      <c r="AC10" s="333"/>
      <c r="AD10" s="333"/>
      <c r="AE10" s="333"/>
      <c r="AF10" s="333"/>
      <c r="AG10" s="333"/>
      <c r="AH10" s="190"/>
      <c r="AI10" s="62"/>
    </row>
    <row r="11" spans="2:39" ht="4.5" customHeight="1">
      <c r="B11" s="60"/>
      <c r="C11" s="331"/>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332"/>
      <c r="AI11" s="62"/>
    </row>
    <row r="12" spans="2:39" ht="15" customHeight="1">
      <c r="B12" s="60"/>
      <c r="C12" s="331"/>
      <c r="D12" s="336"/>
      <c r="E12" s="167"/>
      <c r="F12" s="337"/>
      <c r="G12" s="337"/>
      <c r="H12" s="337"/>
      <c r="I12" s="337"/>
      <c r="J12" s="166"/>
      <c r="K12" s="166"/>
      <c r="L12" s="167"/>
      <c r="M12" s="333"/>
      <c r="N12" s="333"/>
      <c r="O12" s="333"/>
      <c r="P12" s="166"/>
      <c r="Q12" s="167"/>
      <c r="R12" s="193"/>
      <c r="S12" s="193"/>
      <c r="T12" s="101"/>
      <c r="U12" s="193"/>
      <c r="V12" s="193"/>
      <c r="W12" s="193"/>
      <c r="X12" s="193"/>
      <c r="Y12" s="193"/>
      <c r="Z12" s="193"/>
      <c r="AA12" s="166"/>
      <c r="AB12" s="167"/>
      <c r="AC12" s="166"/>
      <c r="AD12" s="166"/>
      <c r="AE12" s="166"/>
      <c r="AF12" s="166"/>
      <c r="AG12" s="166"/>
      <c r="AH12" s="332"/>
      <c r="AI12" s="62"/>
    </row>
    <row r="13" spans="2:39" s="77" customFormat="1" ht="3" customHeight="1">
      <c r="B13" s="71"/>
      <c r="C13" s="338"/>
      <c r="D13" s="212"/>
      <c r="E13" s="212"/>
      <c r="F13" s="339"/>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340"/>
      <c r="AI13" s="76"/>
    </row>
    <row r="14" spans="2:39" s="77" customFormat="1" ht="15" customHeight="1">
      <c r="B14" s="71"/>
      <c r="C14" s="341"/>
      <c r="D14" s="182"/>
      <c r="E14" s="342"/>
      <c r="F14" s="166"/>
      <c r="G14" s="183"/>
      <c r="H14" s="166"/>
      <c r="I14" s="166"/>
      <c r="J14" s="166"/>
      <c r="K14" s="166"/>
      <c r="L14" s="166"/>
      <c r="M14" s="166"/>
      <c r="N14" s="166"/>
      <c r="O14" s="166"/>
      <c r="P14" s="166"/>
      <c r="Q14" s="572"/>
      <c r="R14" s="573"/>
      <c r="S14" s="573"/>
      <c r="T14" s="573"/>
      <c r="U14" s="573"/>
      <c r="V14" s="572"/>
      <c r="W14" s="183"/>
      <c r="X14" s="183"/>
      <c r="Y14" s="337"/>
      <c r="Z14" s="337"/>
      <c r="AA14" s="337"/>
      <c r="AB14" s="343"/>
      <c r="AC14" s="573"/>
      <c r="AD14" s="573"/>
      <c r="AE14" s="573"/>
      <c r="AF14" s="212"/>
      <c r="AG14" s="212"/>
      <c r="AH14" s="332"/>
      <c r="AI14" s="76"/>
    </row>
    <row r="15" spans="2:39" s="77" customFormat="1" ht="5.25" customHeight="1">
      <c r="B15" s="71"/>
      <c r="C15" s="341"/>
      <c r="D15" s="182"/>
      <c r="E15" s="342"/>
      <c r="F15" s="166"/>
      <c r="G15" s="183"/>
      <c r="H15" s="166"/>
      <c r="I15" s="166"/>
      <c r="J15" s="166"/>
      <c r="K15" s="166"/>
      <c r="L15" s="166"/>
      <c r="M15" s="166"/>
      <c r="N15" s="166"/>
      <c r="O15" s="166"/>
      <c r="P15" s="166"/>
      <c r="Q15" s="166"/>
      <c r="R15" s="167"/>
      <c r="S15" s="182"/>
      <c r="T15" s="166"/>
      <c r="U15" s="166"/>
      <c r="V15" s="166"/>
      <c r="W15" s="166"/>
      <c r="X15" s="166"/>
      <c r="Y15" s="166"/>
      <c r="Z15" s="167"/>
      <c r="AA15" s="167"/>
      <c r="AB15" s="167"/>
      <c r="AC15" s="167"/>
      <c r="AD15" s="167"/>
      <c r="AE15" s="344"/>
      <c r="AF15" s="344"/>
      <c r="AG15" s="344"/>
      <c r="AH15" s="332"/>
      <c r="AI15" s="76"/>
    </row>
    <row r="16" spans="2:39" s="77" customFormat="1" ht="15" customHeight="1">
      <c r="B16" s="71"/>
      <c r="C16" s="341"/>
      <c r="D16" s="182"/>
      <c r="E16" s="342"/>
      <c r="F16" s="166"/>
      <c r="G16" s="183"/>
      <c r="H16" s="166"/>
      <c r="I16" s="166"/>
      <c r="J16" s="166"/>
      <c r="K16" s="166"/>
      <c r="L16" s="166"/>
      <c r="M16" s="166"/>
      <c r="N16" s="166"/>
      <c r="O16" s="166"/>
      <c r="P16" s="166"/>
      <c r="Q16" s="182"/>
      <c r="R16" s="573"/>
      <c r="S16" s="573"/>
      <c r="T16" s="573"/>
      <c r="U16" s="573"/>
      <c r="V16" s="167"/>
      <c r="W16" s="182"/>
      <c r="X16" s="166"/>
      <c r="Y16" s="166"/>
      <c r="Z16" s="166"/>
      <c r="AA16" s="166"/>
      <c r="AB16" s="343"/>
      <c r="AC16" s="573"/>
      <c r="AD16" s="573"/>
      <c r="AE16" s="573"/>
      <c r="AF16" s="182"/>
      <c r="AG16" s="167"/>
      <c r="AH16" s="332"/>
      <c r="AI16" s="76"/>
    </row>
    <row r="17" spans="2:37" s="77" customFormat="1" ht="3" customHeight="1">
      <c r="B17" s="71"/>
      <c r="C17" s="338"/>
      <c r="D17" s="166"/>
      <c r="E17" s="166"/>
      <c r="F17" s="167"/>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332"/>
      <c r="AI17" s="76"/>
    </row>
    <row r="18" spans="2:37" s="77" customFormat="1" ht="3" customHeight="1">
      <c r="B18" s="71"/>
      <c r="C18" s="338"/>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332"/>
      <c r="AI18" s="76"/>
    </row>
    <row r="19" spans="2:37" s="77" customFormat="1" ht="15" customHeight="1">
      <c r="B19" s="71"/>
      <c r="C19" s="341"/>
      <c r="D19" s="336"/>
      <c r="E19" s="193"/>
      <c r="F19" s="166"/>
      <c r="G19" s="166"/>
      <c r="H19" s="166"/>
      <c r="I19" s="166"/>
      <c r="J19" s="166"/>
      <c r="K19" s="166"/>
      <c r="L19" s="166"/>
      <c r="M19" s="166"/>
      <c r="N19" s="166"/>
      <c r="O19" s="166"/>
      <c r="P19" s="166"/>
      <c r="Q19" s="166"/>
      <c r="R19" s="166"/>
      <c r="S19" s="166"/>
      <c r="T19" s="167"/>
      <c r="U19" s="167"/>
      <c r="V19" s="345"/>
      <c r="W19" s="345"/>
      <c r="X19" s="345"/>
      <c r="Y19" s="166"/>
      <c r="Z19" s="166"/>
      <c r="AA19" s="166"/>
      <c r="AB19" s="166"/>
      <c r="AC19" s="166"/>
      <c r="AD19" s="346"/>
      <c r="AE19" s="347"/>
      <c r="AF19" s="347"/>
      <c r="AG19" s="347"/>
      <c r="AH19" s="332"/>
      <c r="AI19" s="76"/>
    </row>
    <row r="20" spans="2:37" s="77" customFormat="1" ht="5.25" customHeight="1">
      <c r="B20" s="71"/>
      <c r="C20" s="338"/>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332"/>
      <c r="AI20" s="76"/>
    </row>
    <row r="21" spans="2:37" s="77" customFormat="1" ht="15" customHeight="1">
      <c r="B21" s="71"/>
      <c r="C21" s="341"/>
      <c r="D21" s="182"/>
      <c r="E21" s="342"/>
      <c r="F21" s="166"/>
      <c r="G21" s="183"/>
      <c r="H21" s="183"/>
      <c r="I21" s="183"/>
      <c r="J21" s="183"/>
      <c r="K21" s="183"/>
      <c r="L21" s="183"/>
      <c r="M21" s="183"/>
      <c r="N21" s="183"/>
      <c r="O21" s="183"/>
      <c r="P21" s="348"/>
      <c r="Q21" s="574"/>
      <c r="R21" s="349"/>
      <c r="S21" s="182"/>
      <c r="T21" s="342"/>
      <c r="U21" s="166"/>
      <c r="V21" s="183"/>
      <c r="W21" s="183"/>
      <c r="X21" s="183"/>
      <c r="Y21" s="183"/>
      <c r="Z21" s="183"/>
      <c r="AA21" s="183"/>
      <c r="AB21" s="183"/>
      <c r="AC21" s="183"/>
      <c r="AD21" s="183"/>
      <c r="AE21" s="183"/>
      <c r="AF21" s="348"/>
      <c r="AG21" s="574"/>
      <c r="AH21" s="332"/>
      <c r="AI21" s="76"/>
    </row>
    <row r="22" spans="2:37" s="77" customFormat="1" ht="5.25" customHeight="1">
      <c r="B22" s="71"/>
      <c r="C22" s="338"/>
      <c r="D22" s="182"/>
      <c r="E22" s="166"/>
      <c r="F22" s="166"/>
      <c r="G22" s="183"/>
      <c r="H22" s="166"/>
      <c r="I22" s="166"/>
      <c r="J22" s="166"/>
      <c r="K22" s="166"/>
      <c r="L22" s="166"/>
      <c r="M22" s="166"/>
      <c r="N22" s="166"/>
      <c r="O22" s="166"/>
      <c r="P22" s="166"/>
      <c r="Q22" s="350"/>
      <c r="R22" s="166"/>
      <c r="S22" s="182"/>
      <c r="T22" s="166"/>
      <c r="U22" s="166"/>
      <c r="V22" s="183"/>
      <c r="W22" s="166"/>
      <c r="X22" s="166"/>
      <c r="Y22" s="166"/>
      <c r="Z22" s="166"/>
      <c r="AA22" s="166"/>
      <c r="AB22" s="166"/>
      <c r="AC22" s="166"/>
      <c r="AD22" s="166"/>
      <c r="AE22" s="166"/>
      <c r="AF22" s="166"/>
      <c r="AG22" s="350"/>
      <c r="AH22" s="332"/>
      <c r="AI22" s="76"/>
    </row>
    <row r="23" spans="2:37" s="77" customFormat="1" ht="15" customHeight="1">
      <c r="B23" s="92"/>
      <c r="C23" s="338"/>
      <c r="D23" s="182"/>
      <c r="E23" s="342"/>
      <c r="F23" s="166"/>
      <c r="G23" s="183"/>
      <c r="H23" s="183"/>
      <c r="I23" s="183"/>
      <c r="J23" s="183"/>
      <c r="K23" s="183"/>
      <c r="L23" s="183"/>
      <c r="M23" s="183"/>
      <c r="N23" s="183"/>
      <c r="O23" s="183"/>
      <c r="P23" s="348"/>
      <c r="Q23" s="574"/>
      <c r="R23" s="349"/>
      <c r="S23" s="182"/>
      <c r="T23" s="342"/>
      <c r="U23" s="166"/>
      <c r="V23" s="183"/>
      <c r="W23" s="183"/>
      <c r="X23" s="183"/>
      <c r="Y23" s="183"/>
      <c r="Z23" s="183"/>
      <c r="AA23" s="183"/>
      <c r="AB23" s="183"/>
      <c r="AC23" s="183"/>
      <c r="AD23" s="183"/>
      <c r="AE23" s="183"/>
      <c r="AF23" s="348"/>
      <c r="AG23" s="574"/>
      <c r="AH23" s="332"/>
      <c r="AI23" s="76"/>
    </row>
    <row r="24" spans="2:37" s="77" customFormat="1" ht="5.25" customHeight="1">
      <c r="B24" s="71"/>
      <c r="C24" s="338"/>
      <c r="D24" s="182"/>
      <c r="E24" s="166"/>
      <c r="F24" s="166"/>
      <c r="G24" s="183"/>
      <c r="H24" s="166"/>
      <c r="I24" s="166"/>
      <c r="J24" s="166"/>
      <c r="K24" s="166"/>
      <c r="L24" s="166"/>
      <c r="M24" s="166"/>
      <c r="N24" s="166"/>
      <c r="O24" s="166"/>
      <c r="P24" s="166"/>
      <c r="Q24" s="350"/>
      <c r="R24" s="166"/>
      <c r="S24" s="182"/>
      <c r="T24" s="166"/>
      <c r="U24" s="166"/>
      <c r="V24" s="183"/>
      <c r="W24" s="166"/>
      <c r="X24" s="166"/>
      <c r="Y24" s="166"/>
      <c r="Z24" s="166"/>
      <c r="AA24" s="166"/>
      <c r="AB24" s="166"/>
      <c r="AC24" s="166"/>
      <c r="AD24" s="166"/>
      <c r="AE24" s="166"/>
      <c r="AF24" s="166"/>
      <c r="AG24" s="350"/>
      <c r="AH24" s="332"/>
      <c r="AI24" s="76"/>
    </row>
    <row r="25" spans="2:37" s="77" customFormat="1" ht="15" customHeight="1">
      <c r="B25" s="92"/>
      <c r="C25" s="338"/>
      <c r="D25" s="182"/>
      <c r="E25" s="342"/>
      <c r="F25" s="166"/>
      <c r="G25" s="183"/>
      <c r="H25" s="183"/>
      <c r="I25" s="183"/>
      <c r="J25" s="183"/>
      <c r="K25" s="183"/>
      <c r="L25" s="183"/>
      <c r="M25" s="183"/>
      <c r="N25" s="183"/>
      <c r="O25" s="183"/>
      <c r="P25" s="348"/>
      <c r="Q25" s="574"/>
      <c r="R25" s="349"/>
      <c r="S25" s="182"/>
      <c r="T25" s="342"/>
      <c r="U25" s="166"/>
      <c r="V25" s="183"/>
      <c r="W25" s="183"/>
      <c r="X25" s="183"/>
      <c r="Y25" s="183"/>
      <c r="Z25" s="183"/>
      <c r="AA25" s="183"/>
      <c r="AB25" s="183"/>
      <c r="AC25" s="183"/>
      <c r="AD25" s="183"/>
      <c r="AE25" s="183"/>
      <c r="AF25" s="348"/>
      <c r="AG25" s="574"/>
      <c r="AH25" s="332"/>
      <c r="AI25" s="76"/>
    </row>
    <row r="26" spans="2:37" s="77" customFormat="1" ht="5.25" customHeight="1">
      <c r="B26" s="92"/>
      <c r="C26" s="338"/>
      <c r="D26" s="182"/>
      <c r="E26" s="166"/>
      <c r="F26" s="166"/>
      <c r="G26" s="183"/>
      <c r="H26" s="166"/>
      <c r="I26" s="166"/>
      <c r="J26" s="166"/>
      <c r="K26" s="166"/>
      <c r="L26" s="166"/>
      <c r="M26" s="166"/>
      <c r="N26" s="166"/>
      <c r="O26" s="166"/>
      <c r="P26" s="166"/>
      <c r="Q26" s="350"/>
      <c r="R26" s="166"/>
      <c r="S26" s="182"/>
      <c r="T26" s="166"/>
      <c r="U26" s="166"/>
      <c r="V26" s="183"/>
      <c r="W26" s="166"/>
      <c r="X26" s="166"/>
      <c r="Y26" s="166"/>
      <c r="Z26" s="166"/>
      <c r="AA26" s="166"/>
      <c r="AB26" s="166"/>
      <c r="AC26" s="166"/>
      <c r="AD26" s="166"/>
      <c r="AE26" s="166"/>
      <c r="AF26" s="166"/>
      <c r="AG26" s="350"/>
      <c r="AH26" s="332"/>
      <c r="AI26" s="76"/>
    </row>
    <row r="27" spans="2:37" ht="15" customHeight="1">
      <c r="B27" s="60"/>
      <c r="C27" s="331"/>
      <c r="D27" s="182"/>
      <c r="E27" s="342"/>
      <c r="F27" s="166"/>
      <c r="G27" s="183"/>
      <c r="H27" s="183"/>
      <c r="I27" s="183"/>
      <c r="J27" s="183"/>
      <c r="K27" s="183"/>
      <c r="L27" s="183"/>
      <c r="M27" s="183"/>
      <c r="N27" s="183"/>
      <c r="O27" s="183"/>
      <c r="P27" s="348"/>
      <c r="Q27" s="574"/>
      <c r="R27" s="349"/>
      <c r="S27" s="182"/>
      <c r="T27" s="342"/>
      <c r="U27" s="166"/>
      <c r="V27" s="183"/>
      <c r="W27" s="183"/>
      <c r="X27" s="183"/>
      <c r="Y27" s="183"/>
      <c r="Z27" s="183"/>
      <c r="AA27" s="183"/>
      <c r="AB27" s="183"/>
      <c r="AC27" s="183"/>
      <c r="AD27" s="183"/>
      <c r="AE27" s="183"/>
      <c r="AF27" s="348"/>
      <c r="AG27" s="574"/>
      <c r="AH27" s="192"/>
      <c r="AI27" s="93"/>
      <c r="AJ27" s="94"/>
      <c r="AK27" s="94"/>
    </row>
    <row r="28" spans="2:37" s="77" customFormat="1" ht="5.25" customHeight="1">
      <c r="B28" s="92"/>
      <c r="C28" s="338"/>
      <c r="D28" s="182"/>
      <c r="E28" s="166"/>
      <c r="F28" s="166"/>
      <c r="G28" s="183"/>
      <c r="H28" s="166"/>
      <c r="I28" s="166"/>
      <c r="J28" s="166"/>
      <c r="K28" s="166"/>
      <c r="L28" s="166"/>
      <c r="M28" s="166"/>
      <c r="N28" s="166"/>
      <c r="O28" s="166"/>
      <c r="P28" s="166"/>
      <c r="Q28" s="350"/>
      <c r="R28" s="166"/>
      <c r="S28" s="182"/>
      <c r="T28" s="166"/>
      <c r="U28" s="166"/>
      <c r="V28" s="183"/>
      <c r="W28" s="166"/>
      <c r="X28" s="166"/>
      <c r="Y28" s="166"/>
      <c r="Z28" s="166"/>
      <c r="AA28" s="166"/>
      <c r="AB28" s="166"/>
      <c r="AC28" s="166"/>
      <c r="AD28" s="166"/>
      <c r="AE28" s="166"/>
      <c r="AF28" s="166"/>
      <c r="AG28" s="350"/>
      <c r="AH28" s="332"/>
      <c r="AI28" s="76"/>
    </row>
    <row r="29" spans="2:37" ht="15" customHeight="1">
      <c r="B29" s="60"/>
      <c r="C29" s="331"/>
      <c r="D29" s="182"/>
      <c r="E29" s="342"/>
      <c r="F29" s="166"/>
      <c r="G29" s="183"/>
      <c r="H29" s="183"/>
      <c r="I29" s="183"/>
      <c r="J29" s="183"/>
      <c r="K29" s="183"/>
      <c r="L29" s="183"/>
      <c r="M29" s="183"/>
      <c r="N29" s="183"/>
      <c r="O29" s="183"/>
      <c r="P29" s="348"/>
      <c r="Q29" s="574"/>
      <c r="R29" s="349"/>
      <c r="S29" s="351"/>
      <c r="T29" s="342"/>
      <c r="U29" s="166"/>
      <c r="V29" s="183"/>
      <c r="W29" s="183"/>
      <c r="X29" s="183"/>
      <c r="Y29" s="183"/>
      <c r="Z29" s="183"/>
      <c r="AA29" s="183"/>
      <c r="AB29" s="183"/>
      <c r="AC29" s="183"/>
      <c r="AD29" s="183"/>
      <c r="AE29" s="183"/>
      <c r="AF29" s="348"/>
      <c r="AG29" s="574"/>
      <c r="AH29" s="190"/>
      <c r="AI29" s="95"/>
      <c r="AJ29" s="94"/>
    </row>
    <row r="30" spans="2:37" s="77" customFormat="1" ht="5.25" customHeight="1">
      <c r="B30" s="92"/>
      <c r="C30" s="338"/>
      <c r="D30" s="182"/>
      <c r="E30" s="166"/>
      <c r="F30" s="166"/>
      <c r="G30" s="183"/>
      <c r="H30" s="166"/>
      <c r="I30" s="166"/>
      <c r="J30" s="166"/>
      <c r="K30" s="166"/>
      <c r="L30" s="166"/>
      <c r="M30" s="166"/>
      <c r="N30" s="166"/>
      <c r="O30" s="166"/>
      <c r="P30" s="166"/>
      <c r="Q30" s="350"/>
      <c r="R30" s="166"/>
      <c r="S30" s="182"/>
      <c r="T30" s="166"/>
      <c r="U30" s="166"/>
      <c r="V30" s="183"/>
      <c r="W30" s="166"/>
      <c r="X30" s="166"/>
      <c r="Y30" s="166"/>
      <c r="Z30" s="166"/>
      <c r="AA30" s="166"/>
      <c r="AB30" s="166"/>
      <c r="AC30" s="166"/>
      <c r="AD30" s="166"/>
      <c r="AE30" s="166"/>
      <c r="AF30" s="166"/>
      <c r="AG30" s="350"/>
      <c r="AH30" s="332"/>
      <c r="AI30" s="76"/>
    </row>
    <row r="31" spans="2:37" ht="15" customHeight="1">
      <c r="B31" s="60"/>
      <c r="C31" s="331"/>
      <c r="D31" s="182" t="s">
        <v>783</v>
      </c>
      <c r="E31" s="342"/>
      <c r="F31" s="166"/>
      <c r="G31" s="183"/>
      <c r="H31" s="183"/>
      <c r="I31" s="183"/>
      <c r="J31" s="183"/>
      <c r="K31" s="183"/>
      <c r="L31" s="183"/>
      <c r="M31" s="183"/>
      <c r="N31" s="183"/>
      <c r="O31" s="183"/>
      <c r="P31" s="348"/>
      <c r="Q31" s="574"/>
      <c r="R31" s="349"/>
      <c r="S31" s="351"/>
      <c r="T31" s="342"/>
      <c r="U31" s="166"/>
      <c r="V31" s="183"/>
      <c r="W31" s="183"/>
      <c r="X31" s="183"/>
      <c r="Y31" s="183"/>
      <c r="Z31" s="183"/>
      <c r="AA31" s="183"/>
      <c r="AB31" s="183"/>
      <c r="AC31" s="183"/>
      <c r="AD31" s="183"/>
      <c r="AE31" s="183"/>
      <c r="AF31" s="348"/>
      <c r="AG31" s="574"/>
      <c r="AH31" s="190"/>
      <c r="AI31" s="96"/>
      <c r="AJ31" s="94"/>
    </row>
    <row r="32" spans="2:37" ht="15" customHeight="1">
      <c r="B32" s="60"/>
      <c r="C32" s="331"/>
      <c r="D32" s="182" t="s">
        <v>784</v>
      </c>
      <c r="E32" s="342"/>
      <c r="F32" s="166"/>
      <c r="G32" s="183"/>
      <c r="H32" s="183"/>
      <c r="I32" s="183"/>
      <c r="J32" s="183"/>
      <c r="K32" s="183"/>
      <c r="L32" s="183"/>
      <c r="M32" s="183"/>
      <c r="N32" s="183"/>
      <c r="O32" s="183"/>
      <c r="P32" s="348"/>
      <c r="Q32" s="574"/>
      <c r="R32" s="349"/>
      <c r="S32" s="351"/>
      <c r="T32" s="342"/>
      <c r="U32" s="166"/>
      <c r="V32" s="183"/>
      <c r="W32" s="183"/>
      <c r="X32" s="183"/>
      <c r="Y32" s="183"/>
      <c r="Z32" s="183"/>
      <c r="AA32" s="183"/>
      <c r="AB32" s="183"/>
      <c r="AC32" s="183"/>
      <c r="AD32" s="183"/>
      <c r="AE32" s="183"/>
      <c r="AF32" s="348"/>
      <c r="AG32" s="574"/>
      <c r="AH32" s="190"/>
      <c r="AI32" s="96"/>
      <c r="AJ32" s="94"/>
    </row>
    <row r="33" spans="1:37" ht="15" customHeight="1">
      <c r="B33" s="60"/>
      <c r="C33" s="331"/>
      <c r="D33" s="182" t="s">
        <v>785</v>
      </c>
      <c r="E33" s="342"/>
      <c r="F33" s="166"/>
      <c r="G33" s="183"/>
      <c r="H33" s="183"/>
      <c r="I33" s="183"/>
      <c r="J33" s="183"/>
      <c r="K33" s="183"/>
      <c r="L33" s="183"/>
      <c r="M33" s="183"/>
      <c r="N33" s="183"/>
      <c r="O33" s="183"/>
      <c r="P33" s="348"/>
      <c r="Q33" s="574"/>
      <c r="R33" s="349"/>
      <c r="S33" s="351"/>
      <c r="T33" s="342"/>
      <c r="U33" s="166"/>
      <c r="V33" s="183"/>
      <c r="W33" s="183"/>
      <c r="X33" s="183"/>
      <c r="Y33" s="183"/>
      <c r="Z33" s="183"/>
      <c r="AA33" s="183"/>
      <c r="AB33" s="183"/>
      <c r="AC33" s="183"/>
      <c r="AD33" s="183"/>
      <c r="AE33" s="183"/>
      <c r="AF33" s="348"/>
      <c r="AG33" s="574"/>
      <c r="AH33" s="188"/>
      <c r="AI33" s="96"/>
      <c r="AJ33" s="94"/>
    </row>
    <row r="34" spans="1:37" ht="5.25" customHeight="1">
      <c r="B34" s="60"/>
      <c r="C34" s="331"/>
      <c r="D34" s="182"/>
      <c r="E34" s="342"/>
      <c r="F34" s="166"/>
      <c r="G34" s="183"/>
      <c r="H34" s="166"/>
      <c r="I34" s="166"/>
      <c r="J34" s="166"/>
      <c r="K34" s="166"/>
      <c r="L34" s="166"/>
      <c r="M34" s="166"/>
      <c r="N34" s="166"/>
      <c r="O34" s="166"/>
      <c r="P34" s="349"/>
      <c r="Q34" s="352"/>
      <c r="R34" s="353"/>
      <c r="S34" s="351"/>
      <c r="T34" s="342"/>
      <c r="U34" s="166"/>
      <c r="V34" s="183"/>
      <c r="W34" s="354"/>
      <c r="X34" s="354"/>
      <c r="Y34" s="354"/>
      <c r="Z34" s="354"/>
      <c r="AA34" s="354"/>
      <c r="AB34" s="354"/>
      <c r="AC34" s="354"/>
      <c r="AD34" s="354"/>
      <c r="AE34" s="354"/>
      <c r="AF34" s="354"/>
      <c r="AG34" s="355"/>
      <c r="AH34" s="188"/>
      <c r="AI34" s="96"/>
      <c r="AJ34" s="94"/>
    </row>
    <row r="35" spans="1:37" ht="15" customHeight="1">
      <c r="A35" s="51" t="s">
        <v>53</v>
      </c>
      <c r="B35" s="60"/>
      <c r="C35" s="331"/>
      <c r="D35" s="182"/>
      <c r="E35" s="342"/>
      <c r="F35" s="166"/>
      <c r="G35" s="183"/>
      <c r="H35" s="183"/>
      <c r="I35" s="183"/>
      <c r="J35" s="183"/>
      <c r="K35" s="183"/>
      <c r="L35" s="183"/>
      <c r="M35" s="183"/>
      <c r="N35" s="183"/>
      <c r="O35" s="183"/>
      <c r="P35" s="348"/>
      <c r="Q35" s="574"/>
      <c r="R35" s="349"/>
      <c r="S35" s="351"/>
      <c r="T35" s="342"/>
      <c r="U35" s="166"/>
      <c r="V35" s="183"/>
      <c r="W35" s="183"/>
      <c r="X35" s="183"/>
      <c r="Y35" s="183"/>
      <c r="Z35" s="183"/>
      <c r="AA35" s="183"/>
      <c r="AB35" s="183"/>
      <c r="AC35" s="183"/>
      <c r="AD35" s="183"/>
      <c r="AE35" s="183"/>
      <c r="AF35" s="348"/>
      <c r="AG35" s="574"/>
      <c r="AH35" s="188"/>
      <c r="AI35" s="96"/>
      <c r="AJ35" s="94"/>
    </row>
    <row r="36" spans="1:37" s="77" customFormat="1" ht="5.25" customHeight="1">
      <c r="B36" s="92"/>
      <c r="C36" s="338"/>
      <c r="D36" s="182"/>
      <c r="E36" s="166"/>
      <c r="F36" s="166"/>
      <c r="G36" s="183"/>
      <c r="H36" s="166"/>
      <c r="I36" s="166"/>
      <c r="J36" s="166"/>
      <c r="K36" s="166"/>
      <c r="L36" s="166"/>
      <c r="M36" s="166"/>
      <c r="N36" s="166"/>
      <c r="O36" s="166"/>
      <c r="P36" s="166"/>
      <c r="Q36" s="350"/>
      <c r="R36" s="166"/>
      <c r="S36" s="182"/>
      <c r="T36" s="166"/>
      <c r="U36" s="166"/>
      <c r="V36" s="183"/>
      <c r="W36" s="166"/>
      <c r="X36" s="166"/>
      <c r="Y36" s="166"/>
      <c r="Z36" s="166"/>
      <c r="AA36" s="166"/>
      <c r="AB36" s="166"/>
      <c r="AC36" s="166"/>
      <c r="AD36" s="166"/>
      <c r="AE36" s="166"/>
      <c r="AF36" s="166"/>
      <c r="AG36" s="350"/>
      <c r="AH36" s="332"/>
      <c r="AI36" s="76"/>
    </row>
    <row r="37" spans="1:37" ht="15" customHeight="1">
      <c r="A37" s="51" t="s">
        <v>53</v>
      </c>
      <c r="B37" s="60"/>
      <c r="C37" s="331"/>
      <c r="D37" s="182"/>
      <c r="E37" s="342"/>
      <c r="F37" s="166"/>
      <c r="G37" s="183"/>
      <c r="H37" s="183"/>
      <c r="I37" s="183"/>
      <c r="J37" s="183"/>
      <c r="K37" s="183"/>
      <c r="L37" s="183"/>
      <c r="M37" s="183"/>
      <c r="N37" s="183"/>
      <c r="O37" s="183"/>
      <c r="P37" s="348"/>
      <c r="Q37" s="574"/>
      <c r="R37" s="349"/>
      <c r="S37" s="351"/>
      <c r="T37" s="342"/>
      <c r="U37" s="166"/>
      <c r="V37" s="183"/>
      <c r="W37" s="183"/>
      <c r="X37" s="183"/>
      <c r="Y37" s="183"/>
      <c r="Z37" s="183"/>
      <c r="AA37" s="183"/>
      <c r="AB37" s="183"/>
      <c r="AC37" s="183"/>
      <c r="AD37" s="183"/>
      <c r="AE37" s="183"/>
      <c r="AF37" s="348"/>
      <c r="AG37" s="574"/>
      <c r="AH37" s="188"/>
      <c r="AI37" s="96"/>
      <c r="AJ37" s="94"/>
    </row>
    <row r="38" spans="1:37" ht="5.25" customHeight="1">
      <c r="B38" s="60"/>
      <c r="C38" s="331"/>
      <c r="D38" s="182"/>
      <c r="E38" s="342"/>
      <c r="F38" s="166"/>
      <c r="G38" s="183"/>
      <c r="H38" s="166"/>
      <c r="I38" s="166"/>
      <c r="J38" s="166"/>
      <c r="K38" s="166"/>
      <c r="L38" s="166"/>
      <c r="M38" s="166"/>
      <c r="N38" s="166"/>
      <c r="O38" s="166"/>
      <c r="P38" s="349"/>
      <c r="Q38" s="352"/>
      <c r="R38" s="349"/>
      <c r="S38" s="351"/>
      <c r="T38" s="342"/>
      <c r="U38" s="166"/>
      <c r="V38" s="183"/>
      <c r="W38" s="354"/>
      <c r="X38" s="354"/>
      <c r="Y38" s="354"/>
      <c r="Z38" s="354"/>
      <c r="AA38" s="354"/>
      <c r="AB38" s="354"/>
      <c r="AC38" s="354"/>
      <c r="AD38" s="354"/>
      <c r="AE38" s="354"/>
      <c r="AF38" s="354"/>
      <c r="AG38" s="355"/>
      <c r="AH38" s="188"/>
      <c r="AI38" s="96"/>
      <c r="AJ38" s="94"/>
    </row>
    <row r="39" spans="1:37" ht="15" customHeight="1">
      <c r="B39" s="60"/>
      <c r="C39" s="331"/>
      <c r="D39" s="182"/>
      <c r="E39" s="342"/>
      <c r="F39" s="166"/>
      <c r="G39" s="183"/>
      <c r="H39" s="183"/>
      <c r="I39" s="183"/>
      <c r="J39" s="183"/>
      <c r="K39" s="183"/>
      <c r="L39" s="183"/>
      <c r="M39" s="183"/>
      <c r="N39" s="183"/>
      <c r="O39" s="183"/>
      <c r="P39" s="348"/>
      <c r="Q39" s="574"/>
      <c r="R39" s="349"/>
      <c r="S39" s="351"/>
      <c r="T39" s="342"/>
      <c r="U39" s="166"/>
      <c r="V39" s="183"/>
      <c r="W39" s="183"/>
      <c r="X39" s="183"/>
      <c r="Y39" s="183"/>
      <c r="Z39" s="183"/>
      <c r="AA39" s="183"/>
      <c r="AB39" s="183"/>
      <c r="AC39" s="183"/>
      <c r="AD39" s="183"/>
      <c r="AE39" s="183"/>
      <c r="AF39" s="348"/>
      <c r="AG39" s="574"/>
      <c r="AH39" s="188"/>
      <c r="AI39" s="96"/>
      <c r="AJ39" s="94"/>
    </row>
    <row r="40" spans="1:37" s="77" customFormat="1" ht="5.25" customHeight="1">
      <c r="B40" s="92"/>
      <c r="C40" s="338"/>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332"/>
      <c r="AI40" s="76"/>
    </row>
    <row r="41" spans="1:37" s="77" customFormat="1" ht="5.25" customHeight="1">
      <c r="B41" s="92"/>
      <c r="C41" s="338"/>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332"/>
      <c r="AI41" s="76"/>
    </row>
    <row r="42" spans="1:37" ht="15" customHeight="1">
      <c r="B42" s="60"/>
      <c r="C42" s="331"/>
      <c r="D42" s="33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332"/>
      <c r="AI42" s="62"/>
      <c r="AJ42" s="94"/>
      <c r="AK42" s="94"/>
    </row>
    <row r="43" spans="1:37" s="77" customFormat="1" ht="5.25" customHeight="1">
      <c r="B43" s="92"/>
      <c r="C43" s="338"/>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332"/>
      <c r="AI43" s="76"/>
    </row>
    <row r="44" spans="1:37" s="77" customFormat="1" ht="15" customHeight="1">
      <c r="B44" s="71"/>
      <c r="C44" s="338"/>
      <c r="D44" s="166"/>
      <c r="E44" s="342"/>
      <c r="F44" s="166"/>
      <c r="G44" s="183"/>
      <c r="H44" s="183"/>
      <c r="I44" s="183"/>
      <c r="J44" s="183"/>
      <c r="K44" s="183"/>
      <c r="L44" s="183"/>
      <c r="M44" s="183"/>
      <c r="N44" s="183"/>
      <c r="O44" s="183"/>
      <c r="P44" s="348"/>
      <c r="Q44" s="574"/>
      <c r="R44" s="349"/>
      <c r="S44" s="166"/>
      <c r="T44" s="342"/>
      <c r="U44" s="166"/>
      <c r="V44" s="183"/>
      <c r="W44" s="183"/>
      <c r="X44" s="183"/>
      <c r="Y44" s="183"/>
      <c r="Z44" s="183"/>
      <c r="AA44" s="183"/>
      <c r="AB44" s="183"/>
      <c r="AC44" s="183"/>
      <c r="AD44" s="183"/>
      <c r="AE44" s="183"/>
      <c r="AF44" s="348"/>
      <c r="AG44" s="574"/>
      <c r="AH44" s="332"/>
      <c r="AI44" s="76"/>
    </row>
    <row r="45" spans="1:37" s="77" customFormat="1" ht="5.25" customHeight="1">
      <c r="B45" s="92"/>
      <c r="C45" s="338"/>
      <c r="D45" s="166"/>
      <c r="E45" s="166"/>
      <c r="F45" s="166"/>
      <c r="G45" s="183"/>
      <c r="H45" s="166"/>
      <c r="I45" s="166"/>
      <c r="J45" s="166"/>
      <c r="K45" s="166"/>
      <c r="L45" s="166"/>
      <c r="M45" s="166"/>
      <c r="N45" s="166"/>
      <c r="O45" s="166"/>
      <c r="P45" s="166"/>
      <c r="Q45" s="350"/>
      <c r="R45" s="166"/>
      <c r="S45" s="166"/>
      <c r="T45" s="166"/>
      <c r="U45" s="166"/>
      <c r="V45" s="183"/>
      <c r="W45" s="166"/>
      <c r="X45" s="166"/>
      <c r="Y45" s="166"/>
      <c r="Z45" s="166"/>
      <c r="AA45" s="166"/>
      <c r="AB45" s="166"/>
      <c r="AC45" s="166"/>
      <c r="AD45" s="166"/>
      <c r="AE45" s="166"/>
      <c r="AF45" s="166"/>
      <c r="AG45" s="350"/>
      <c r="AH45" s="332"/>
      <c r="AI45" s="76"/>
    </row>
    <row r="46" spans="1:37" ht="15" customHeight="1">
      <c r="B46" s="60"/>
      <c r="C46" s="331"/>
      <c r="D46" s="166"/>
      <c r="E46" s="342"/>
      <c r="F46" s="166"/>
      <c r="G46" s="183"/>
      <c r="H46" s="183"/>
      <c r="I46" s="183"/>
      <c r="J46" s="183"/>
      <c r="K46" s="183"/>
      <c r="L46" s="183"/>
      <c r="M46" s="183"/>
      <c r="N46" s="183"/>
      <c r="O46" s="183"/>
      <c r="P46" s="348"/>
      <c r="Q46" s="574"/>
      <c r="R46" s="349"/>
      <c r="S46" s="166"/>
      <c r="T46" s="342"/>
      <c r="U46" s="166"/>
      <c r="V46" s="183"/>
      <c r="W46" s="183"/>
      <c r="X46" s="183"/>
      <c r="Y46" s="183"/>
      <c r="Z46" s="183"/>
      <c r="AA46" s="183"/>
      <c r="AB46" s="183"/>
      <c r="AC46" s="183"/>
      <c r="AD46" s="183"/>
      <c r="AE46" s="183"/>
      <c r="AF46" s="348"/>
      <c r="AG46" s="574"/>
      <c r="AH46" s="332"/>
      <c r="AI46" s="62"/>
    </row>
    <row r="47" spans="1:37" s="77" customFormat="1" ht="5.25" customHeight="1">
      <c r="B47" s="92"/>
      <c r="C47" s="338"/>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332"/>
      <c r="AI47" s="76"/>
    </row>
    <row r="48" spans="1:37" ht="5.25" customHeight="1">
      <c r="B48" s="60"/>
      <c r="C48" s="331"/>
      <c r="D48" s="166"/>
      <c r="E48" s="166"/>
      <c r="F48" s="166"/>
      <c r="G48" s="166"/>
      <c r="H48" s="166"/>
      <c r="I48" s="166"/>
      <c r="J48" s="166"/>
      <c r="K48" s="166"/>
      <c r="L48" s="166"/>
      <c r="M48" s="166"/>
      <c r="N48" s="167"/>
      <c r="O48" s="356"/>
      <c r="P48" s="356"/>
      <c r="Q48" s="166"/>
      <c r="R48" s="166"/>
      <c r="S48" s="166"/>
      <c r="T48" s="357"/>
      <c r="U48" s="357"/>
      <c r="V48" s="166"/>
      <c r="W48" s="166"/>
      <c r="X48" s="167"/>
      <c r="Y48" s="357"/>
      <c r="Z48" s="357"/>
      <c r="AA48" s="166"/>
      <c r="AB48" s="354"/>
      <c r="AC48" s="354"/>
      <c r="AD48" s="354"/>
      <c r="AE48" s="354"/>
      <c r="AF48" s="354"/>
      <c r="AG48" s="354"/>
      <c r="AH48" s="358"/>
      <c r="AI48" s="62"/>
    </row>
    <row r="49" spans="2:35" ht="15" customHeight="1">
      <c r="B49" s="60"/>
      <c r="C49" s="331"/>
      <c r="D49" s="336"/>
      <c r="E49" s="166"/>
      <c r="F49" s="166"/>
      <c r="G49" s="166"/>
      <c r="H49" s="166"/>
      <c r="I49" s="166"/>
      <c r="J49" s="166"/>
      <c r="K49" s="167"/>
      <c r="L49" s="167"/>
      <c r="M49" s="204"/>
      <c r="N49" s="167"/>
      <c r="O49" s="359"/>
      <c r="P49" s="166"/>
      <c r="Q49" s="182"/>
      <c r="R49" s="166"/>
      <c r="S49" s="167"/>
      <c r="T49" s="359"/>
      <c r="U49" s="166"/>
      <c r="V49" s="182"/>
      <c r="W49" s="166"/>
      <c r="X49" s="167"/>
      <c r="Y49" s="357"/>
      <c r="Z49" s="357"/>
      <c r="AA49" s="182"/>
      <c r="AB49" s="166"/>
      <c r="AC49" s="167"/>
      <c r="AD49" s="357"/>
      <c r="AE49" s="357"/>
      <c r="AF49" s="182"/>
      <c r="AG49" s="360"/>
      <c r="AH49" s="361"/>
      <c r="AI49" s="62"/>
    </row>
    <row r="50" spans="2:35" s="77" customFormat="1" ht="5.25" customHeight="1">
      <c r="B50" s="92"/>
      <c r="C50" s="338"/>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332"/>
      <c r="AI50" s="76"/>
    </row>
    <row r="51" spans="2:35" ht="15" customHeight="1">
      <c r="B51" s="60"/>
      <c r="C51" s="331"/>
      <c r="D51" s="166"/>
      <c r="E51" s="342"/>
      <c r="F51" s="166"/>
      <c r="G51" s="183"/>
      <c r="H51" s="183"/>
      <c r="I51" s="183"/>
      <c r="J51" s="183"/>
      <c r="K51" s="183"/>
      <c r="L51" s="183"/>
      <c r="M51" s="183"/>
      <c r="N51" s="183"/>
      <c r="O51" s="183"/>
      <c r="P51" s="348"/>
      <c r="Q51" s="574"/>
      <c r="R51" s="349"/>
      <c r="S51" s="182"/>
      <c r="T51" s="342"/>
      <c r="U51" s="166"/>
      <c r="V51" s="183"/>
      <c r="W51" s="183"/>
      <c r="X51" s="183"/>
      <c r="Y51" s="183"/>
      <c r="Z51" s="183"/>
      <c r="AA51" s="183"/>
      <c r="AB51" s="183"/>
      <c r="AC51" s="183"/>
      <c r="AD51" s="183"/>
      <c r="AE51" s="183"/>
      <c r="AF51" s="348"/>
      <c r="AG51" s="574"/>
      <c r="AH51" s="361"/>
      <c r="AI51" s="62"/>
    </row>
    <row r="52" spans="2:35" s="77" customFormat="1" ht="5.25" customHeight="1">
      <c r="B52" s="92"/>
      <c r="C52" s="338"/>
      <c r="D52" s="166"/>
      <c r="E52" s="166"/>
      <c r="F52" s="166"/>
      <c r="G52" s="183"/>
      <c r="H52" s="166"/>
      <c r="I52" s="166"/>
      <c r="J52" s="166"/>
      <c r="K52" s="166"/>
      <c r="L52" s="166"/>
      <c r="M52" s="166"/>
      <c r="N52" s="166"/>
      <c r="O52" s="166"/>
      <c r="P52" s="166"/>
      <c r="Q52" s="350"/>
      <c r="R52" s="166"/>
      <c r="S52" s="182"/>
      <c r="T52" s="166"/>
      <c r="U52" s="166"/>
      <c r="V52" s="183"/>
      <c r="W52" s="166"/>
      <c r="X52" s="166"/>
      <c r="Y52" s="166"/>
      <c r="Z52" s="166"/>
      <c r="AA52" s="166"/>
      <c r="AB52" s="166"/>
      <c r="AC52" s="166"/>
      <c r="AD52" s="166"/>
      <c r="AE52" s="166"/>
      <c r="AF52" s="166"/>
      <c r="AG52" s="350"/>
      <c r="AH52" s="332"/>
      <c r="AI52" s="76"/>
    </row>
    <row r="53" spans="2:35" ht="15" customHeight="1">
      <c r="B53" s="60"/>
      <c r="C53" s="331"/>
      <c r="D53" s="166"/>
      <c r="E53" s="342"/>
      <c r="F53" s="166"/>
      <c r="G53" s="183"/>
      <c r="H53" s="183"/>
      <c r="I53" s="183"/>
      <c r="J53" s="183"/>
      <c r="K53" s="183"/>
      <c r="L53" s="183"/>
      <c r="M53" s="183"/>
      <c r="N53" s="183"/>
      <c r="O53" s="183"/>
      <c r="P53" s="348"/>
      <c r="Q53" s="574"/>
      <c r="R53" s="349"/>
      <c r="S53" s="182"/>
      <c r="T53" s="342"/>
      <c r="U53" s="166"/>
      <c r="V53" s="183"/>
      <c r="W53" s="183"/>
      <c r="X53" s="183"/>
      <c r="Y53" s="183"/>
      <c r="Z53" s="183"/>
      <c r="AA53" s="183"/>
      <c r="AB53" s="183"/>
      <c r="AC53" s="183"/>
      <c r="AD53" s="183"/>
      <c r="AE53" s="183"/>
      <c r="AF53" s="348"/>
      <c r="AG53" s="574"/>
      <c r="AH53" s="361"/>
      <c r="AI53" s="62"/>
    </row>
    <row r="54" spans="2:35" s="77" customFormat="1" ht="5.25" customHeight="1">
      <c r="B54" s="92"/>
      <c r="C54" s="338"/>
      <c r="D54" s="166"/>
      <c r="E54" s="166"/>
      <c r="F54" s="166"/>
      <c r="G54" s="183"/>
      <c r="H54" s="166"/>
      <c r="I54" s="166"/>
      <c r="J54" s="166"/>
      <c r="K54" s="166"/>
      <c r="L54" s="166"/>
      <c r="M54" s="166"/>
      <c r="N54" s="166"/>
      <c r="O54" s="166"/>
      <c r="P54" s="166"/>
      <c r="Q54" s="350"/>
      <c r="R54" s="166"/>
      <c r="S54" s="182"/>
      <c r="T54" s="166"/>
      <c r="U54" s="166"/>
      <c r="V54" s="183"/>
      <c r="W54" s="166"/>
      <c r="X54" s="166"/>
      <c r="Y54" s="166"/>
      <c r="Z54" s="166"/>
      <c r="AA54" s="166"/>
      <c r="AB54" s="166"/>
      <c r="AC54" s="166"/>
      <c r="AD54" s="166"/>
      <c r="AE54" s="166"/>
      <c r="AF54" s="166"/>
      <c r="AG54" s="350"/>
      <c r="AH54" s="332"/>
      <c r="AI54" s="76"/>
    </row>
    <row r="55" spans="2:35" ht="15" customHeight="1">
      <c r="B55" s="60"/>
      <c r="C55" s="331"/>
      <c r="D55" s="166"/>
      <c r="E55" s="342"/>
      <c r="F55" s="166"/>
      <c r="G55" s="183"/>
      <c r="H55" s="183"/>
      <c r="I55" s="183"/>
      <c r="J55" s="183"/>
      <c r="K55" s="183"/>
      <c r="L55" s="183"/>
      <c r="M55" s="183"/>
      <c r="N55" s="183"/>
      <c r="O55" s="183"/>
      <c r="P55" s="348"/>
      <c r="Q55" s="574"/>
      <c r="R55" s="349"/>
      <c r="S55" s="182"/>
      <c r="T55" s="342"/>
      <c r="U55" s="166"/>
      <c r="V55" s="183"/>
      <c r="W55" s="183"/>
      <c r="X55" s="183"/>
      <c r="Y55" s="183"/>
      <c r="Z55" s="183"/>
      <c r="AA55" s="183"/>
      <c r="AB55" s="183"/>
      <c r="AC55" s="183"/>
      <c r="AD55" s="183"/>
      <c r="AE55" s="183"/>
      <c r="AF55" s="348"/>
      <c r="AG55" s="574"/>
      <c r="AH55" s="361"/>
      <c r="AI55" s="62"/>
    </row>
    <row r="56" spans="2:35" s="77" customFormat="1" ht="5.25" customHeight="1">
      <c r="B56" s="92"/>
      <c r="C56" s="338"/>
      <c r="D56" s="166"/>
      <c r="E56" s="166"/>
      <c r="F56" s="166"/>
      <c r="G56" s="183"/>
      <c r="H56" s="166"/>
      <c r="I56" s="166"/>
      <c r="J56" s="166"/>
      <c r="K56" s="166"/>
      <c r="L56" s="166"/>
      <c r="M56" s="166"/>
      <c r="N56" s="166"/>
      <c r="O56" s="166"/>
      <c r="P56" s="166"/>
      <c r="Q56" s="350"/>
      <c r="R56" s="166"/>
      <c r="S56" s="182"/>
      <c r="T56" s="166"/>
      <c r="U56" s="166"/>
      <c r="V56" s="183"/>
      <c r="W56" s="166"/>
      <c r="X56" s="166"/>
      <c r="Y56" s="166"/>
      <c r="Z56" s="166"/>
      <c r="AA56" s="166"/>
      <c r="AB56" s="166"/>
      <c r="AC56" s="166"/>
      <c r="AD56" s="166"/>
      <c r="AE56" s="166"/>
      <c r="AF56" s="166"/>
      <c r="AG56" s="350"/>
      <c r="AH56" s="332"/>
      <c r="AI56" s="76"/>
    </row>
    <row r="57" spans="2:35" ht="15" customHeight="1">
      <c r="B57" s="60"/>
      <c r="C57" s="331"/>
      <c r="D57" s="166"/>
      <c r="E57" s="342"/>
      <c r="F57" s="166"/>
      <c r="G57" s="183"/>
      <c r="H57" s="183"/>
      <c r="I57" s="183"/>
      <c r="J57" s="183"/>
      <c r="K57" s="183"/>
      <c r="L57" s="183"/>
      <c r="M57" s="183"/>
      <c r="N57" s="183"/>
      <c r="O57" s="183"/>
      <c r="P57" s="348"/>
      <c r="Q57" s="574"/>
      <c r="R57" s="349"/>
      <c r="S57" s="182"/>
      <c r="T57" s="342"/>
      <c r="U57" s="166"/>
      <c r="V57" s="183"/>
      <c r="W57" s="183"/>
      <c r="X57" s="183"/>
      <c r="Y57" s="183"/>
      <c r="Z57" s="183"/>
      <c r="AA57" s="183"/>
      <c r="AB57" s="183"/>
      <c r="AC57" s="183"/>
      <c r="AD57" s="183"/>
      <c r="AE57" s="183"/>
      <c r="AF57" s="348"/>
      <c r="AG57" s="574"/>
      <c r="AH57" s="180"/>
      <c r="AI57" s="62"/>
    </row>
    <row r="58" spans="2:35" s="77" customFormat="1" ht="5.25" customHeight="1">
      <c r="B58" s="92"/>
      <c r="C58" s="338"/>
      <c r="D58" s="166"/>
      <c r="E58" s="166"/>
      <c r="F58" s="166"/>
      <c r="G58" s="183"/>
      <c r="H58" s="166"/>
      <c r="I58" s="166"/>
      <c r="J58" s="166"/>
      <c r="K58" s="166"/>
      <c r="L58" s="166"/>
      <c r="M58" s="166"/>
      <c r="N58" s="166"/>
      <c r="O58" s="166"/>
      <c r="P58" s="166"/>
      <c r="Q58" s="350"/>
      <c r="R58" s="166"/>
      <c r="S58" s="182"/>
      <c r="T58" s="166"/>
      <c r="U58" s="166"/>
      <c r="V58" s="183"/>
      <c r="W58" s="166"/>
      <c r="X58" s="166"/>
      <c r="Y58" s="166"/>
      <c r="Z58" s="166"/>
      <c r="AA58" s="166"/>
      <c r="AB58" s="166"/>
      <c r="AC58" s="166"/>
      <c r="AD58" s="166"/>
      <c r="AE58" s="166"/>
      <c r="AF58" s="166"/>
      <c r="AG58" s="350"/>
      <c r="AH58" s="332"/>
      <c r="AI58" s="76"/>
    </row>
    <row r="59" spans="2:35" ht="15" customHeight="1">
      <c r="B59" s="60"/>
      <c r="C59" s="331"/>
      <c r="D59" s="166"/>
      <c r="E59" s="342"/>
      <c r="F59" s="166"/>
      <c r="G59" s="183"/>
      <c r="H59" s="183"/>
      <c r="I59" s="183"/>
      <c r="J59" s="183"/>
      <c r="K59" s="183"/>
      <c r="L59" s="183"/>
      <c r="M59" s="183"/>
      <c r="N59" s="183"/>
      <c r="O59" s="183"/>
      <c r="P59" s="348"/>
      <c r="Q59" s="574"/>
      <c r="R59" s="349"/>
      <c r="S59" s="182"/>
      <c r="T59" s="342"/>
      <c r="U59" s="166"/>
      <c r="V59" s="183"/>
      <c r="W59" s="183"/>
      <c r="X59" s="183"/>
      <c r="Y59" s="183"/>
      <c r="Z59" s="183"/>
      <c r="AA59" s="183"/>
      <c r="AB59" s="183"/>
      <c r="AC59" s="183"/>
      <c r="AD59" s="183"/>
      <c r="AE59" s="183"/>
      <c r="AF59" s="348"/>
      <c r="AG59" s="574"/>
      <c r="AH59" s="332"/>
      <c r="AI59" s="62"/>
    </row>
    <row r="60" spans="2:35" s="77" customFormat="1" ht="5.25" customHeight="1">
      <c r="B60" s="92"/>
      <c r="C60" s="338"/>
      <c r="D60" s="166"/>
      <c r="E60" s="166"/>
      <c r="F60" s="166"/>
      <c r="G60" s="183"/>
      <c r="H60" s="166"/>
      <c r="I60" s="166"/>
      <c r="J60" s="166"/>
      <c r="K60" s="166"/>
      <c r="L60" s="166"/>
      <c r="M60" s="166"/>
      <c r="N60" s="166"/>
      <c r="O60" s="166"/>
      <c r="P60" s="166"/>
      <c r="Q60" s="350"/>
      <c r="R60" s="166"/>
      <c r="S60" s="182"/>
      <c r="T60" s="166"/>
      <c r="U60" s="166"/>
      <c r="V60" s="183"/>
      <c r="W60" s="166"/>
      <c r="X60" s="166"/>
      <c r="Y60" s="166"/>
      <c r="Z60" s="166"/>
      <c r="AA60" s="166"/>
      <c r="AB60" s="166"/>
      <c r="AC60" s="166"/>
      <c r="AD60" s="166"/>
      <c r="AE60" s="166"/>
      <c r="AF60" s="166"/>
      <c r="AG60" s="350"/>
      <c r="AH60" s="332"/>
      <c r="AI60" s="76"/>
    </row>
    <row r="61" spans="2:35" ht="15" customHeight="1">
      <c r="B61" s="60"/>
      <c r="C61" s="331"/>
      <c r="D61" s="166"/>
      <c r="E61" s="342"/>
      <c r="F61" s="166"/>
      <c r="G61" s="183"/>
      <c r="H61" s="183"/>
      <c r="I61" s="183"/>
      <c r="J61" s="183"/>
      <c r="K61" s="183"/>
      <c r="L61" s="183"/>
      <c r="M61" s="183"/>
      <c r="N61" s="183"/>
      <c r="O61" s="183"/>
      <c r="P61" s="348"/>
      <c r="Q61" s="574"/>
      <c r="R61" s="349"/>
      <c r="S61" s="182"/>
      <c r="T61" s="342"/>
      <c r="U61" s="166"/>
      <c r="V61" s="183"/>
      <c r="W61" s="183"/>
      <c r="X61" s="183"/>
      <c r="Y61" s="183"/>
      <c r="Z61" s="183"/>
      <c r="AA61" s="183"/>
      <c r="AB61" s="183"/>
      <c r="AC61" s="183"/>
      <c r="AD61" s="183"/>
      <c r="AE61" s="183"/>
      <c r="AF61" s="348"/>
      <c r="AG61" s="574"/>
      <c r="AH61" s="358"/>
      <c r="AI61" s="62"/>
    </row>
    <row r="62" spans="2:35" ht="5.25" customHeight="1">
      <c r="B62" s="60"/>
      <c r="C62" s="331"/>
      <c r="D62" s="166"/>
      <c r="E62" s="166"/>
      <c r="F62" s="166"/>
      <c r="G62" s="183"/>
      <c r="H62" s="166"/>
      <c r="I62" s="166"/>
      <c r="J62" s="166"/>
      <c r="K62" s="167"/>
      <c r="L62" s="167"/>
      <c r="M62" s="166"/>
      <c r="N62" s="166"/>
      <c r="O62" s="182"/>
      <c r="P62" s="166"/>
      <c r="Q62" s="350"/>
      <c r="R62" s="356"/>
      <c r="S62" s="362"/>
      <c r="T62" s="182"/>
      <c r="U62" s="166"/>
      <c r="V62" s="343"/>
      <c r="W62" s="357"/>
      <c r="X62" s="357"/>
      <c r="Y62" s="182"/>
      <c r="Z62" s="166"/>
      <c r="AA62" s="167"/>
      <c r="AB62" s="363"/>
      <c r="AC62" s="363"/>
      <c r="AD62" s="182"/>
      <c r="AE62" s="166"/>
      <c r="AF62" s="166"/>
      <c r="AG62" s="350"/>
      <c r="AH62" s="332"/>
      <c r="AI62" s="62"/>
    </row>
    <row r="63" spans="2:35" ht="15" customHeight="1">
      <c r="B63" s="60"/>
      <c r="C63" s="331"/>
      <c r="D63" s="166"/>
      <c r="E63" s="342"/>
      <c r="F63" s="166"/>
      <c r="G63" s="183"/>
      <c r="H63" s="183"/>
      <c r="I63" s="183"/>
      <c r="J63" s="183"/>
      <c r="K63" s="183"/>
      <c r="L63" s="183"/>
      <c r="M63" s="183"/>
      <c r="N63" s="183"/>
      <c r="O63" s="183"/>
      <c r="P63" s="348"/>
      <c r="Q63" s="574"/>
      <c r="R63" s="349"/>
      <c r="S63" s="182"/>
      <c r="T63" s="342"/>
      <c r="U63" s="166"/>
      <c r="V63" s="183"/>
      <c r="W63" s="183"/>
      <c r="X63" s="183"/>
      <c r="Y63" s="183"/>
      <c r="Z63" s="183"/>
      <c r="AA63" s="183"/>
      <c r="AB63" s="183"/>
      <c r="AC63" s="183"/>
      <c r="AD63" s="183"/>
      <c r="AE63" s="183"/>
      <c r="AF63" s="348"/>
      <c r="AG63" s="574"/>
      <c r="AH63" s="361"/>
      <c r="AI63" s="62"/>
    </row>
    <row r="64" spans="2:35" ht="5.25" customHeight="1">
      <c r="B64" s="60"/>
      <c r="C64" s="331"/>
      <c r="D64" s="166"/>
      <c r="E64" s="166"/>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166"/>
      <c r="AD64" s="166"/>
      <c r="AE64" s="166"/>
      <c r="AF64" s="360"/>
      <c r="AG64" s="360"/>
      <c r="AH64" s="361"/>
      <c r="AI64" s="62"/>
    </row>
    <row r="65" spans="2:35" ht="5.25" customHeight="1">
      <c r="B65" s="60"/>
      <c r="C65" s="331"/>
      <c r="D65" s="166"/>
      <c r="E65" s="166"/>
      <c r="F65" s="364"/>
      <c r="G65" s="365"/>
      <c r="H65" s="365"/>
      <c r="I65" s="366"/>
      <c r="J65" s="366"/>
      <c r="K65" s="167"/>
      <c r="L65" s="167"/>
      <c r="M65" s="367"/>
      <c r="N65" s="167"/>
      <c r="O65" s="359"/>
      <c r="P65" s="166"/>
      <c r="Q65" s="182"/>
      <c r="R65" s="367"/>
      <c r="S65" s="167"/>
      <c r="T65" s="359"/>
      <c r="U65" s="166"/>
      <c r="V65" s="182"/>
      <c r="W65" s="236"/>
      <c r="X65" s="167"/>
      <c r="Y65" s="357"/>
      <c r="Z65" s="357"/>
      <c r="AA65" s="182"/>
      <c r="AB65" s="236"/>
      <c r="AC65" s="167"/>
      <c r="AD65" s="368"/>
      <c r="AE65" s="368"/>
      <c r="AF65" s="182"/>
      <c r="AG65" s="369"/>
      <c r="AH65" s="180"/>
      <c r="AI65" s="62"/>
    </row>
    <row r="66" spans="2:35" ht="15" customHeight="1">
      <c r="B66" s="60"/>
      <c r="C66" s="331"/>
      <c r="D66" s="166" t="s">
        <v>786</v>
      </c>
      <c r="E66" s="166"/>
      <c r="F66" s="166"/>
      <c r="G66" s="166"/>
      <c r="H66" s="166"/>
      <c r="I66" s="166"/>
      <c r="J66" s="166"/>
      <c r="K66" s="167"/>
      <c r="L66" s="167"/>
      <c r="M66" s="166"/>
      <c r="N66" s="166"/>
      <c r="O66" s="182"/>
      <c r="P66" s="166"/>
      <c r="Q66" s="167"/>
      <c r="R66" s="356"/>
      <c r="S66" s="356"/>
      <c r="T66" s="182"/>
      <c r="U66" s="166"/>
      <c r="V66" s="167"/>
      <c r="W66" s="357"/>
      <c r="X66" s="357"/>
      <c r="Y66" s="182"/>
      <c r="Z66" s="166"/>
      <c r="AA66" s="167"/>
      <c r="AB66" s="363"/>
      <c r="AC66" s="363"/>
      <c r="AD66" s="182"/>
      <c r="AE66" s="166"/>
      <c r="AF66" s="166"/>
      <c r="AG66" s="166"/>
      <c r="AH66" s="332"/>
      <c r="AI66" s="62"/>
    </row>
    <row r="67" spans="2:35" ht="5.25" customHeight="1">
      <c r="B67" s="60"/>
      <c r="C67" s="331"/>
      <c r="D67" s="166"/>
      <c r="E67" s="166"/>
      <c r="F67" s="166"/>
      <c r="G67" s="166"/>
      <c r="H67" s="166"/>
      <c r="I67" s="166"/>
      <c r="J67" s="166"/>
      <c r="K67" s="167"/>
      <c r="L67" s="167"/>
      <c r="M67" s="204"/>
      <c r="N67" s="167"/>
      <c r="O67" s="359"/>
      <c r="P67" s="166"/>
      <c r="Q67" s="182"/>
      <c r="R67" s="166"/>
      <c r="S67" s="167"/>
      <c r="T67" s="359"/>
      <c r="U67" s="166"/>
      <c r="V67" s="182"/>
      <c r="W67" s="166"/>
      <c r="X67" s="167"/>
      <c r="Y67" s="357"/>
      <c r="Z67" s="357"/>
      <c r="AA67" s="182"/>
      <c r="AB67" s="166"/>
      <c r="AC67" s="167"/>
      <c r="AD67" s="357"/>
      <c r="AE67" s="357"/>
      <c r="AF67" s="182"/>
      <c r="AG67" s="360"/>
      <c r="AH67" s="361"/>
      <c r="AI67" s="62"/>
    </row>
    <row r="68" spans="2:35" ht="15" customHeight="1">
      <c r="B68" s="60"/>
      <c r="C68" s="331"/>
      <c r="D68" s="166"/>
      <c r="E68" s="342"/>
      <c r="F68" s="166"/>
      <c r="G68" s="183"/>
      <c r="H68" s="183"/>
      <c r="I68" s="183"/>
      <c r="J68" s="183"/>
      <c r="K68" s="183"/>
      <c r="L68" s="183"/>
      <c r="M68" s="183"/>
      <c r="N68" s="183"/>
      <c r="O68" s="183"/>
      <c r="P68" s="348"/>
      <c r="Q68" s="574"/>
      <c r="R68" s="349"/>
      <c r="S68" s="182"/>
      <c r="T68" s="342"/>
      <c r="U68" s="166"/>
      <c r="V68" s="183"/>
      <c r="W68" s="183"/>
      <c r="X68" s="183"/>
      <c r="Y68" s="183"/>
      <c r="Z68" s="183"/>
      <c r="AA68" s="183"/>
      <c r="AB68" s="183"/>
      <c r="AC68" s="183"/>
      <c r="AD68" s="183"/>
      <c r="AE68" s="183"/>
      <c r="AF68" s="348"/>
      <c r="AG68" s="574"/>
      <c r="AH68" s="361"/>
      <c r="AI68" s="62"/>
    </row>
    <row r="69" spans="2:35" ht="5.25" customHeight="1">
      <c r="B69" s="60"/>
      <c r="C69" s="331"/>
      <c r="D69" s="166"/>
      <c r="E69" s="166"/>
      <c r="F69" s="364"/>
      <c r="G69" s="370"/>
      <c r="H69" s="365"/>
      <c r="I69" s="366"/>
      <c r="J69" s="366"/>
      <c r="K69" s="167"/>
      <c r="L69" s="167"/>
      <c r="M69" s="367"/>
      <c r="N69" s="167"/>
      <c r="O69" s="359"/>
      <c r="P69" s="166"/>
      <c r="Q69" s="350"/>
      <c r="R69" s="367"/>
      <c r="S69" s="167"/>
      <c r="T69" s="359"/>
      <c r="U69" s="166"/>
      <c r="V69" s="187"/>
      <c r="W69" s="236"/>
      <c r="X69" s="167"/>
      <c r="Y69" s="357"/>
      <c r="Z69" s="357"/>
      <c r="AA69" s="182"/>
      <c r="AB69" s="236"/>
      <c r="AC69" s="167"/>
      <c r="AD69" s="368"/>
      <c r="AE69" s="368"/>
      <c r="AF69" s="182"/>
      <c r="AG69" s="371"/>
      <c r="AH69" s="180"/>
      <c r="AI69" s="62"/>
    </row>
    <row r="70" spans="2:35" ht="15" customHeight="1">
      <c r="B70" s="60"/>
      <c r="C70" s="331"/>
      <c r="D70" s="166"/>
      <c r="E70" s="342"/>
      <c r="F70" s="166"/>
      <c r="G70" s="183"/>
      <c r="H70" s="183"/>
      <c r="I70" s="183"/>
      <c r="J70" s="183"/>
      <c r="K70" s="183"/>
      <c r="L70" s="183"/>
      <c r="M70" s="183"/>
      <c r="N70" s="183"/>
      <c r="O70" s="183"/>
      <c r="P70" s="348"/>
      <c r="Q70" s="574"/>
      <c r="R70" s="367"/>
      <c r="S70" s="182"/>
      <c r="T70" s="342"/>
      <c r="U70" s="166"/>
      <c r="V70" s="183"/>
      <c r="W70" s="183"/>
      <c r="X70" s="183"/>
      <c r="Y70" s="183"/>
      <c r="Z70" s="183"/>
      <c r="AA70" s="183"/>
      <c r="AB70" s="183"/>
      <c r="AC70" s="183"/>
      <c r="AD70" s="183"/>
      <c r="AE70" s="183"/>
      <c r="AF70" s="348"/>
      <c r="AG70" s="574"/>
      <c r="AH70" s="180"/>
      <c r="AI70" s="62"/>
    </row>
    <row r="71" spans="2:35" ht="5.25" customHeight="1">
      <c r="B71" s="60"/>
      <c r="C71" s="372"/>
      <c r="D71" s="170"/>
      <c r="E71" s="170"/>
      <c r="F71" s="373"/>
      <c r="G71" s="374"/>
      <c r="H71" s="374"/>
      <c r="I71" s="375"/>
      <c r="J71" s="375"/>
      <c r="K71" s="171"/>
      <c r="L71" s="171"/>
      <c r="M71" s="376"/>
      <c r="N71" s="171"/>
      <c r="O71" s="377"/>
      <c r="P71" s="170"/>
      <c r="Q71" s="378"/>
      <c r="R71" s="376"/>
      <c r="S71" s="171"/>
      <c r="T71" s="377"/>
      <c r="U71" s="170"/>
      <c r="V71" s="378"/>
      <c r="W71" s="379"/>
      <c r="X71" s="171"/>
      <c r="Y71" s="380"/>
      <c r="Z71" s="380"/>
      <c r="AA71" s="378"/>
      <c r="AB71" s="379"/>
      <c r="AC71" s="171"/>
      <c r="AD71" s="381"/>
      <c r="AE71" s="381"/>
      <c r="AF71" s="378"/>
      <c r="AG71" s="382"/>
      <c r="AH71" s="383"/>
      <c r="AI71" s="62"/>
    </row>
    <row r="72" spans="2:35" ht="6" customHeight="1" thickBot="1">
      <c r="B72" s="99"/>
      <c r="C72" s="57"/>
      <c r="D72" s="57"/>
      <c r="E72" s="57"/>
      <c r="F72" s="57"/>
      <c r="G72" s="57"/>
      <c r="H72" s="57"/>
      <c r="I72" s="57"/>
      <c r="J72" s="57"/>
      <c r="K72" s="58"/>
      <c r="L72" s="57"/>
      <c r="M72" s="57"/>
      <c r="N72" s="57"/>
      <c r="O72" s="57"/>
      <c r="P72" s="57"/>
      <c r="Q72" s="57"/>
      <c r="R72" s="57"/>
      <c r="S72" s="57"/>
      <c r="T72" s="57"/>
      <c r="U72" s="57"/>
      <c r="V72" s="57"/>
      <c r="W72" s="57"/>
      <c r="X72" s="57"/>
      <c r="Y72" s="57"/>
      <c r="Z72" s="57"/>
      <c r="AA72" s="217"/>
      <c r="AB72" s="57"/>
      <c r="AC72" s="218"/>
      <c r="AD72" s="219"/>
      <c r="AE72" s="219"/>
      <c r="AF72" s="217"/>
      <c r="AG72" s="57"/>
      <c r="AH72" s="57"/>
      <c r="AI72" s="100"/>
    </row>
    <row r="75" spans="2:35" ht="15" customHeight="1">
      <c r="B75" s="61"/>
      <c r="C75" s="61"/>
      <c r="D75" s="61"/>
      <c r="E75" s="61"/>
      <c r="F75" s="61"/>
      <c r="G75" s="61"/>
      <c r="H75" s="61"/>
      <c r="I75" s="61"/>
      <c r="J75" s="61"/>
      <c r="AF75" s="81"/>
    </row>
    <row r="76" spans="2:35" ht="16.5" hidden="1" customHeight="1">
      <c r="B76" s="61"/>
      <c r="C76" s="61"/>
      <c r="D76" s="61"/>
      <c r="E76" s="61"/>
      <c r="F76" s="61"/>
      <c r="G76" s="61"/>
      <c r="H76" s="61"/>
      <c r="I76" s="61"/>
      <c r="J76" s="61"/>
      <c r="AF76" s="81"/>
    </row>
    <row r="77" spans="2:35" ht="16.5" hidden="1" customHeight="1">
      <c r="B77" s="61"/>
      <c r="C77" s="61"/>
      <c r="D77" s="61"/>
      <c r="E77" s="81" t="s">
        <v>78</v>
      </c>
      <c r="F77" s="81" t="s">
        <v>81</v>
      </c>
      <c r="G77" s="61"/>
      <c r="H77" s="61"/>
      <c r="I77" s="61"/>
      <c r="J77" s="61"/>
      <c r="AF77" s="81"/>
    </row>
    <row r="78" spans="2:35" ht="16.5" hidden="1" customHeight="1">
      <c r="B78" s="61"/>
      <c r="C78" s="61"/>
      <c r="D78" s="150"/>
      <c r="E78" s="151" t="s">
        <v>43</v>
      </c>
      <c r="F78" s="81" t="s">
        <v>82</v>
      </c>
      <c r="G78" s="61"/>
      <c r="H78" s="61"/>
      <c r="I78" s="61"/>
      <c r="J78" s="61"/>
    </row>
    <row r="79" spans="2:35" ht="16.5" hidden="1" customHeight="1">
      <c r="B79" s="61"/>
      <c r="C79" s="61"/>
      <c r="D79" s="150"/>
      <c r="E79" s="151" t="s">
        <v>32</v>
      </c>
      <c r="F79" s="81" t="s">
        <v>83</v>
      </c>
      <c r="G79" s="61"/>
      <c r="H79" s="61"/>
      <c r="I79" s="61"/>
      <c r="J79" s="61"/>
    </row>
    <row r="80" spans="2:35" ht="16.5" customHeight="1">
      <c r="B80" s="61"/>
      <c r="C80" s="61"/>
      <c r="D80" s="150"/>
      <c r="E80" s="152"/>
      <c r="F80" s="61"/>
      <c r="G80" s="61"/>
      <c r="H80" s="61"/>
      <c r="I80" s="61"/>
      <c r="J80" s="61"/>
    </row>
    <row r="81" spans="2:10" ht="15" customHeight="1">
      <c r="B81" s="61"/>
      <c r="C81" s="61"/>
      <c r="D81" s="150"/>
      <c r="E81" s="152"/>
      <c r="F81" s="61"/>
      <c r="G81" s="61"/>
      <c r="H81" s="61"/>
      <c r="I81" s="61"/>
      <c r="J81" s="61"/>
    </row>
    <row r="82" spans="2:10" ht="15" customHeight="1">
      <c r="B82" s="61"/>
      <c r="C82" s="61"/>
      <c r="D82" s="150"/>
      <c r="E82" s="152"/>
      <c r="F82" s="61"/>
      <c r="G82" s="61"/>
      <c r="H82" s="61"/>
      <c r="I82" s="61"/>
      <c r="J82" s="61"/>
    </row>
    <row r="83" spans="2:10" ht="15" customHeight="1">
      <c r="B83" s="61"/>
      <c r="C83" s="61"/>
      <c r="D83" s="150"/>
      <c r="E83" s="152"/>
      <c r="F83" s="61"/>
      <c r="G83" s="61"/>
      <c r="H83" s="61"/>
      <c r="I83" s="61"/>
      <c r="J83" s="61"/>
    </row>
    <row r="84" spans="2:10" ht="15" customHeight="1">
      <c r="B84" s="61"/>
      <c r="C84" s="61"/>
      <c r="D84" s="150"/>
      <c r="E84" s="152"/>
      <c r="F84" s="61"/>
      <c r="G84" s="61"/>
      <c r="H84" s="61"/>
      <c r="I84" s="61"/>
      <c r="J84" s="61"/>
    </row>
    <row r="85" spans="2:10" ht="15" customHeight="1">
      <c r="B85" s="61"/>
      <c r="C85" s="61"/>
      <c r="D85" s="150"/>
      <c r="E85" s="152"/>
      <c r="F85" s="61"/>
      <c r="G85" s="61"/>
      <c r="H85" s="61"/>
      <c r="I85" s="61"/>
      <c r="J85" s="61"/>
    </row>
    <row r="86" spans="2:10" ht="15" customHeight="1">
      <c r="B86" s="61"/>
      <c r="C86" s="61"/>
      <c r="D86" s="150"/>
      <c r="E86" s="152"/>
      <c r="F86" s="61"/>
      <c r="G86" s="61"/>
      <c r="H86" s="61"/>
      <c r="I86" s="61"/>
      <c r="J86" s="61"/>
    </row>
    <row r="87" spans="2:10" ht="15" customHeight="1">
      <c r="B87" s="61"/>
      <c r="C87" s="61"/>
      <c r="D87" s="150"/>
      <c r="E87" s="152"/>
      <c r="F87" s="61"/>
      <c r="G87" s="61"/>
      <c r="H87" s="61"/>
      <c r="I87" s="61"/>
      <c r="J87" s="61"/>
    </row>
    <row r="88" spans="2:10" ht="15" customHeight="1">
      <c r="B88" s="61"/>
      <c r="C88" s="61"/>
      <c r="D88" s="150"/>
      <c r="E88" s="152"/>
      <c r="F88" s="61"/>
      <c r="G88" s="61"/>
      <c r="H88" s="61"/>
      <c r="I88" s="61"/>
      <c r="J88" s="61"/>
    </row>
    <row r="89" spans="2:10" ht="15" customHeight="1">
      <c r="B89" s="61"/>
      <c r="C89" s="61"/>
      <c r="D89" s="150"/>
      <c r="E89" s="152"/>
      <c r="F89" s="61"/>
      <c r="G89" s="61"/>
      <c r="H89" s="61"/>
      <c r="I89" s="61"/>
      <c r="J89" s="61"/>
    </row>
    <row r="90" spans="2:10" ht="15" customHeight="1">
      <c r="B90" s="61"/>
      <c r="C90" s="61"/>
      <c r="D90" s="150"/>
      <c r="E90" s="152"/>
      <c r="F90" s="61"/>
      <c r="G90" s="61"/>
      <c r="H90" s="61"/>
      <c r="I90" s="61"/>
      <c r="J90" s="61"/>
    </row>
    <row r="91" spans="2:10" ht="15" customHeight="1">
      <c r="B91" s="61"/>
      <c r="C91" s="61"/>
      <c r="D91" s="150"/>
      <c r="E91" s="152"/>
      <c r="F91" s="61"/>
      <c r="G91" s="61"/>
      <c r="H91" s="61"/>
      <c r="I91" s="61"/>
      <c r="J91" s="61"/>
    </row>
    <row r="92" spans="2:10" ht="15" customHeight="1">
      <c r="B92" s="61"/>
      <c r="C92" s="61"/>
      <c r="D92" s="150"/>
      <c r="E92" s="152"/>
      <c r="F92" s="61"/>
      <c r="G92" s="61"/>
      <c r="H92" s="61"/>
      <c r="I92" s="61"/>
      <c r="J92" s="61"/>
    </row>
    <row r="93" spans="2:10" ht="15" customHeight="1">
      <c r="B93" s="61"/>
      <c r="C93" s="61"/>
      <c r="D93" s="150"/>
      <c r="E93" s="152"/>
      <c r="F93" s="61"/>
      <c r="G93" s="61"/>
      <c r="H93" s="61"/>
      <c r="I93" s="61"/>
      <c r="J93" s="61"/>
    </row>
    <row r="94" spans="2:10" ht="15" customHeight="1">
      <c r="B94" s="61"/>
      <c r="C94" s="61"/>
      <c r="D94" s="150"/>
      <c r="E94" s="152"/>
      <c r="F94" s="61"/>
      <c r="G94" s="61"/>
      <c r="H94" s="61"/>
      <c r="I94" s="61"/>
      <c r="J94" s="61"/>
    </row>
    <row r="95" spans="2:10" ht="15" customHeight="1">
      <c r="B95" s="61"/>
      <c r="C95" s="61"/>
      <c r="D95" s="150"/>
      <c r="E95" s="152"/>
      <c r="F95" s="61"/>
      <c r="G95" s="61"/>
      <c r="H95" s="61"/>
      <c r="I95" s="61"/>
      <c r="J95" s="61"/>
    </row>
    <row r="96" spans="2:10" ht="15" customHeight="1">
      <c r="B96" s="61"/>
      <c r="C96" s="61"/>
      <c r="D96" s="150"/>
      <c r="E96" s="152"/>
      <c r="F96" s="61"/>
      <c r="G96" s="61"/>
      <c r="H96" s="61"/>
      <c r="I96" s="61"/>
      <c r="J96" s="61"/>
    </row>
    <row r="97" spans="2:10" ht="15" customHeight="1">
      <c r="B97" s="61"/>
      <c r="C97" s="61"/>
      <c r="D97" s="150"/>
      <c r="E97" s="152"/>
      <c r="F97" s="61"/>
      <c r="G97" s="61"/>
      <c r="H97" s="61"/>
      <c r="I97" s="61"/>
      <c r="J97" s="61"/>
    </row>
    <row r="98" spans="2:10" ht="15" customHeight="1">
      <c r="B98" s="61"/>
      <c r="C98" s="61"/>
      <c r="D98" s="150"/>
      <c r="E98" s="152"/>
      <c r="F98" s="61"/>
      <c r="G98" s="61"/>
      <c r="H98" s="61"/>
      <c r="I98" s="61"/>
      <c r="J98" s="61"/>
    </row>
    <row r="99" spans="2:10" ht="15" customHeight="1">
      <c r="B99" s="61"/>
      <c r="C99" s="61"/>
      <c r="D99" s="150"/>
      <c r="E99" s="152"/>
      <c r="F99" s="61"/>
      <c r="G99" s="61"/>
      <c r="H99" s="61"/>
      <c r="I99" s="61"/>
      <c r="J99" s="61"/>
    </row>
    <row r="100" spans="2:10" ht="15" customHeight="1">
      <c r="B100" s="61"/>
      <c r="C100" s="61"/>
      <c r="D100" s="150"/>
      <c r="E100" s="152"/>
      <c r="F100" s="61"/>
      <c r="G100" s="61"/>
      <c r="H100" s="61"/>
      <c r="I100" s="61"/>
      <c r="J100" s="61"/>
    </row>
    <row r="101" spans="2:10" ht="15" customHeight="1">
      <c r="B101" s="61"/>
      <c r="C101" s="61"/>
      <c r="D101" s="61"/>
      <c r="E101" s="61"/>
      <c r="F101" s="61"/>
      <c r="G101" s="61"/>
      <c r="H101" s="61"/>
      <c r="I101" s="61"/>
      <c r="J101" s="61"/>
    </row>
    <row r="102" spans="2:10" ht="15" customHeight="1">
      <c r="B102" s="61"/>
      <c r="C102" s="61"/>
      <c r="D102" s="61"/>
      <c r="E102" s="61"/>
      <c r="F102" s="61"/>
      <c r="G102" s="61"/>
      <c r="H102" s="61"/>
      <c r="I102" s="61"/>
      <c r="J102" s="61"/>
    </row>
    <row r="103" spans="2:10" ht="15" customHeight="1">
      <c r="B103" s="61"/>
      <c r="C103" s="61"/>
      <c r="D103" s="61"/>
      <c r="E103" s="61"/>
      <c r="F103" s="61"/>
      <c r="G103" s="61"/>
      <c r="H103" s="61"/>
      <c r="I103" s="61"/>
      <c r="J103" s="61"/>
    </row>
    <row r="104" spans="2:10" ht="15" customHeight="1">
      <c r="B104" s="61"/>
      <c r="C104" s="61"/>
      <c r="D104" s="61"/>
      <c r="E104" s="61"/>
      <c r="F104" s="61"/>
      <c r="G104" s="61"/>
      <c r="H104" s="61"/>
      <c r="I104" s="61"/>
      <c r="J104" s="61"/>
    </row>
    <row r="105" spans="2:10" ht="15" customHeight="1">
      <c r="B105" s="61"/>
      <c r="C105" s="61"/>
      <c r="D105" s="61"/>
      <c r="E105" s="61"/>
      <c r="F105" s="61"/>
      <c r="G105" s="61"/>
      <c r="H105" s="61"/>
      <c r="I105" s="61"/>
      <c r="J105" s="61"/>
    </row>
    <row r="106" spans="2:10" ht="15" customHeight="1">
      <c r="B106" s="61"/>
      <c r="C106" s="61"/>
      <c r="D106" s="61"/>
      <c r="E106" s="61"/>
      <c r="F106" s="61"/>
      <c r="G106" s="61"/>
      <c r="H106" s="61"/>
      <c r="I106" s="61"/>
      <c r="J106" s="61"/>
    </row>
    <row r="107" spans="2:10" ht="15" customHeight="1">
      <c r="B107" s="61"/>
      <c r="C107" s="61"/>
      <c r="D107" s="61"/>
      <c r="E107" s="61"/>
      <c r="F107" s="61"/>
      <c r="G107" s="61"/>
      <c r="H107" s="61"/>
      <c r="I107" s="61"/>
      <c r="J107" s="61"/>
    </row>
    <row r="108" spans="2:10" ht="15" customHeight="1">
      <c r="B108" s="61"/>
      <c r="C108" s="61"/>
      <c r="D108" s="61"/>
      <c r="E108" s="61"/>
      <c r="F108" s="61"/>
      <c r="G108" s="61"/>
      <c r="H108" s="61"/>
      <c r="I108" s="61"/>
      <c r="J108" s="61"/>
    </row>
    <row r="109" spans="2:10" ht="15" customHeight="1">
      <c r="B109" s="61"/>
      <c r="C109" s="61"/>
      <c r="D109" s="61"/>
      <c r="E109" s="61"/>
      <c r="F109" s="61"/>
      <c r="G109" s="61"/>
      <c r="H109" s="61"/>
      <c r="I109" s="61"/>
      <c r="J109" s="61"/>
    </row>
    <row r="110" spans="2:10" ht="15" customHeight="1">
      <c r="B110" s="61"/>
      <c r="C110" s="61"/>
      <c r="D110" s="61"/>
      <c r="E110" s="61"/>
      <c r="F110" s="61"/>
      <c r="G110" s="61"/>
      <c r="H110" s="61"/>
      <c r="I110" s="61"/>
      <c r="J110" s="61"/>
    </row>
    <row r="111" spans="2:10" ht="15" customHeight="1">
      <c r="B111" s="61"/>
      <c r="C111" s="61"/>
      <c r="D111" s="61"/>
      <c r="E111" s="61"/>
      <c r="F111" s="61"/>
      <c r="G111" s="61"/>
      <c r="H111" s="61"/>
      <c r="I111" s="61"/>
      <c r="J111" s="61"/>
    </row>
    <row r="112" spans="2:10" ht="15" customHeight="1">
      <c r="B112" s="61"/>
      <c r="C112" s="61"/>
      <c r="D112" s="61"/>
      <c r="E112" s="61"/>
      <c r="F112" s="61"/>
      <c r="G112" s="61"/>
      <c r="H112" s="61"/>
      <c r="I112" s="61"/>
      <c r="J112" s="61"/>
    </row>
    <row r="113" spans="2:10" ht="15" customHeight="1">
      <c r="B113" s="61"/>
      <c r="C113" s="61"/>
      <c r="D113" s="61"/>
      <c r="E113" s="61"/>
      <c r="F113" s="61"/>
      <c r="G113" s="61"/>
      <c r="H113" s="61"/>
      <c r="I113" s="61"/>
      <c r="J113" s="61"/>
    </row>
    <row r="114" spans="2:10" ht="15" customHeight="1">
      <c r="B114" s="61"/>
      <c r="C114" s="61"/>
      <c r="D114" s="61"/>
      <c r="E114" s="61"/>
      <c r="F114" s="61"/>
      <c r="G114" s="61"/>
      <c r="H114" s="61"/>
      <c r="I114" s="61"/>
      <c r="J114" s="61"/>
    </row>
    <row r="115" spans="2:10" ht="15" customHeight="1">
      <c r="B115" s="61"/>
      <c r="C115" s="61"/>
      <c r="D115" s="61"/>
      <c r="E115" s="61"/>
      <c r="F115" s="61"/>
      <c r="G115" s="61"/>
      <c r="H115" s="61"/>
      <c r="I115" s="61"/>
      <c r="J115" s="61"/>
    </row>
    <row r="116" spans="2:10" ht="15" customHeight="1">
      <c r="B116" s="61"/>
      <c r="C116" s="61"/>
      <c r="D116" s="61"/>
      <c r="E116" s="61"/>
      <c r="F116" s="61"/>
      <c r="G116" s="61"/>
      <c r="H116" s="61"/>
      <c r="I116" s="61"/>
      <c r="J116" s="61"/>
    </row>
    <row r="117" spans="2:10" ht="15" customHeight="1">
      <c r="B117" s="61"/>
      <c r="C117" s="61"/>
      <c r="D117" s="61"/>
      <c r="E117" s="61"/>
      <c r="F117" s="61"/>
      <c r="G117" s="61"/>
      <c r="H117" s="61"/>
      <c r="I117" s="61"/>
      <c r="J117" s="61"/>
    </row>
    <row r="118" spans="2:10" ht="15" customHeight="1">
      <c r="B118" s="61"/>
      <c r="C118" s="61"/>
      <c r="D118" s="61"/>
      <c r="E118" s="61"/>
      <c r="F118" s="61"/>
      <c r="G118" s="61"/>
      <c r="H118" s="61"/>
      <c r="I118" s="61"/>
      <c r="J118" s="61"/>
    </row>
    <row r="119" spans="2:10" ht="15" customHeight="1">
      <c r="B119" s="61"/>
      <c r="C119" s="61"/>
      <c r="D119" s="61"/>
      <c r="E119" s="61"/>
      <c r="F119" s="61"/>
      <c r="G119" s="61"/>
      <c r="H119" s="61"/>
      <c r="I119" s="61"/>
      <c r="J119" s="61"/>
    </row>
    <row r="120" spans="2:10" ht="15" customHeight="1">
      <c r="B120" s="61"/>
      <c r="C120" s="61"/>
      <c r="D120" s="61"/>
      <c r="E120" s="61"/>
      <c r="F120" s="61"/>
      <c r="G120" s="61"/>
      <c r="H120" s="61"/>
      <c r="I120" s="61"/>
      <c r="J120" s="61"/>
    </row>
    <row r="121" spans="2:10" ht="15" customHeight="1">
      <c r="B121" s="61"/>
      <c r="C121" s="61"/>
      <c r="D121" s="61"/>
      <c r="E121" s="61"/>
      <c r="F121" s="61"/>
      <c r="G121" s="61"/>
      <c r="H121" s="61"/>
      <c r="I121" s="61"/>
      <c r="J121" s="61"/>
    </row>
    <row r="122" spans="2:10" ht="15" customHeight="1">
      <c r="B122" s="61"/>
      <c r="C122" s="61"/>
      <c r="D122" s="61"/>
      <c r="E122" s="61"/>
      <c r="F122" s="61"/>
      <c r="G122" s="61"/>
      <c r="H122" s="61"/>
      <c r="I122" s="61"/>
      <c r="J122" s="61"/>
    </row>
    <row r="123" spans="2:10" ht="15" customHeight="1">
      <c r="B123" s="61"/>
      <c r="C123" s="61"/>
      <c r="D123" s="61"/>
      <c r="E123" s="61"/>
      <c r="F123" s="61"/>
      <c r="G123" s="61"/>
      <c r="H123" s="61"/>
      <c r="I123" s="61"/>
      <c r="J123" s="61"/>
    </row>
    <row r="124" spans="2:10" ht="15" customHeight="1">
      <c r="B124" s="61"/>
      <c r="C124" s="61"/>
      <c r="D124" s="61"/>
      <c r="E124" s="61"/>
      <c r="F124" s="61"/>
      <c r="G124" s="61"/>
      <c r="H124" s="61"/>
      <c r="I124" s="61"/>
      <c r="J124" s="61"/>
    </row>
    <row r="125" spans="2:10" ht="15" customHeight="1">
      <c r="B125" s="61"/>
      <c r="C125" s="61"/>
      <c r="D125" s="61"/>
      <c r="E125" s="61"/>
      <c r="F125" s="61"/>
      <c r="G125" s="61"/>
      <c r="H125" s="61"/>
      <c r="I125" s="61"/>
      <c r="J125" s="61"/>
    </row>
    <row r="126" spans="2:10" ht="15" customHeight="1">
      <c r="B126" s="61"/>
      <c r="C126" s="61"/>
      <c r="D126" s="61"/>
      <c r="E126" s="61"/>
      <c r="F126" s="61"/>
      <c r="G126" s="61"/>
      <c r="H126" s="61"/>
      <c r="I126" s="61"/>
      <c r="J126" s="61"/>
    </row>
    <row r="127" spans="2:10" ht="15" customHeight="1">
      <c r="B127" s="61"/>
      <c r="C127" s="61"/>
      <c r="D127" s="61"/>
      <c r="E127" s="61"/>
      <c r="F127" s="61"/>
      <c r="G127" s="61"/>
      <c r="H127" s="61"/>
      <c r="I127" s="61"/>
      <c r="J127" s="61"/>
    </row>
    <row r="128" spans="2:10" ht="15" customHeight="1">
      <c r="B128" s="61"/>
      <c r="C128" s="61"/>
      <c r="D128" s="61"/>
      <c r="E128" s="61"/>
      <c r="F128" s="61"/>
      <c r="G128" s="61"/>
      <c r="H128" s="61"/>
      <c r="I128" s="61"/>
      <c r="J128" s="61"/>
    </row>
    <row r="129" spans="2:10" ht="15" customHeight="1">
      <c r="B129" s="61"/>
      <c r="C129" s="61"/>
      <c r="D129" s="61"/>
      <c r="E129" s="61"/>
      <c r="F129" s="61"/>
      <c r="G129" s="61"/>
      <c r="H129" s="61"/>
      <c r="I129" s="61"/>
      <c r="J129" s="61"/>
    </row>
    <row r="130" spans="2:10" ht="15" customHeight="1">
      <c r="B130" s="61"/>
      <c r="C130" s="61"/>
      <c r="D130" s="61"/>
      <c r="E130" s="61"/>
      <c r="F130" s="61"/>
      <c r="G130" s="61"/>
      <c r="H130" s="61"/>
      <c r="I130" s="61"/>
      <c r="J130" s="61"/>
    </row>
    <row r="131" spans="2:10" ht="15" customHeight="1">
      <c r="B131" s="61"/>
      <c r="C131" s="61"/>
      <c r="D131" s="61"/>
      <c r="E131" s="61"/>
      <c r="F131" s="61"/>
      <c r="G131" s="61"/>
      <c r="H131" s="61"/>
      <c r="I131" s="61"/>
      <c r="J131" s="61"/>
    </row>
    <row r="132" spans="2:10" ht="15" customHeight="1">
      <c r="B132" s="61"/>
      <c r="C132" s="61"/>
      <c r="D132" s="61"/>
      <c r="E132" s="61"/>
      <c r="F132" s="61"/>
      <c r="G132" s="61"/>
      <c r="H132" s="61"/>
      <c r="I132" s="61"/>
      <c r="J132" s="61"/>
    </row>
    <row r="133" spans="2:10" ht="15" customHeight="1">
      <c r="B133" s="61"/>
      <c r="C133" s="61"/>
      <c r="D133" s="61"/>
      <c r="E133" s="61"/>
      <c r="F133" s="61"/>
      <c r="G133" s="61"/>
      <c r="H133" s="61"/>
      <c r="I133" s="61"/>
      <c r="J133" s="61"/>
    </row>
    <row r="134" spans="2:10" ht="15" customHeight="1">
      <c r="B134" s="61"/>
      <c r="C134" s="61"/>
      <c r="D134" s="61"/>
      <c r="E134" s="61"/>
      <c r="F134" s="61"/>
      <c r="G134" s="61"/>
      <c r="H134" s="61"/>
      <c r="I134" s="61"/>
      <c r="J134" s="61"/>
    </row>
    <row r="135" spans="2:10" ht="15" customHeight="1">
      <c r="B135" s="61"/>
      <c r="C135" s="61"/>
      <c r="D135" s="61"/>
      <c r="E135" s="61"/>
      <c r="F135" s="61"/>
      <c r="G135" s="61"/>
      <c r="H135" s="61"/>
      <c r="I135" s="61"/>
      <c r="J135" s="61"/>
    </row>
    <row r="136" spans="2:10" ht="15" customHeight="1">
      <c r="B136" s="61"/>
      <c r="C136" s="61"/>
      <c r="D136" s="61"/>
      <c r="E136" s="61"/>
      <c r="F136" s="61"/>
      <c r="G136" s="61"/>
      <c r="H136" s="61"/>
      <c r="I136" s="61"/>
      <c r="J136" s="61"/>
    </row>
    <row r="137" spans="2:10" ht="15" customHeight="1">
      <c r="B137" s="61"/>
      <c r="C137" s="61"/>
      <c r="D137" s="61"/>
      <c r="E137" s="61"/>
      <c r="F137" s="61"/>
      <c r="G137" s="61"/>
      <c r="H137" s="61"/>
      <c r="I137" s="61"/>
      <c r="J137" s="61"/>
    </row>
    <row r="138" spans="2:10" ht="15" customHeight="1">
      <c r="B138" s="61"/>
      <c r="C138" s="61"/>
      <c r="D138" s="61"/>
      <c r="E138" s="61"/>
      <c r="F138" s="61"/>
      <c r="G138" s="61"/>
      <c r="H138" s="61"/>
      <c r="I138" s="61"/>
      <c r="J138" s="61"/>
    </row>
    <row r="139" spans="2:10" ht="15" customHeight="1">
      <c r="B139" s="61"/>
      <c r="C139" s="61"/>
      <c r="D139" s="61"/>
      <c r="E139" s="61"/>
      <c r="F139" s="61"/>
      <c r="G139" s="61"/>
      <c r="H139" s="61"/>
      <c r="I139" s="61"/>
      <c r="J139" s="61"/>
    </row>
    <row r="140" spans="2:10" ht="15" customHeight="1">
      <c r="B140" s="61"/>
      <c r="C140" s="61"/>
      <c r="D140" s="61"/>
      <c r="E140" s="61"/>
      <c r="F140" s="61"/>
      <c r="G140" s="61"/>
      <c r="H140" s="61"/>
      <c r="I140" s="61"/>
      <c r="J140" s="61"/>
    </row>
    <row r="141" spans="2:10" ht="15" customHeight="1">
      <c r="B141" s="61"/>
      <c r="C141" s="61"/>
      <c r="D141" s="61"/>
      <c r="E141" s="61"/>
      <c r="F141" s="61"/>
      <c r="G141" s="61"/>
      <c r="H141" s="61"/>
      <c r="I141" s="61"/>
      <c r="J141" s="61"/>
    </row>
    <row r="142" spans="2:10" ht="15" customHeight="1">
      <c r="B142" s="61"/>
      <c r="C142" s="61"/>
      <c r="D142" s="61"/>
      <c r="E142" s="61"/>
      <c r="F142" s="61"/>
      <c r="G142" s="61"/>
      <c r="H142" s="61"/>
      <c r="I142" s="61"/>
      <c r="J142" s="61"/>
    </row>
    <row r="143" spans="2:10" ht="15" customHeight="1">
      <c r="B143" s="61"/>
      <c r="C143" s="61"/>
      <c r="D143" s="61"/>
      <c r="E143" s="61"/>
      <c r="F143" s="61"/>
      <c r="G143" s="61"/>
      <c r="H143" s="61"/>
      <c r="I143" s="61"/>
      <c r="J143" s="61"/>
    </row>
    <row r="144" spans="2:10" ht="15" customHeight="1">
      <c r="B144" s="61"/>
      <c r="C144" s="61"/>
      <c r="D144" s="61"/>
      <c r="E144" s="61"/>
      <c r="F144" s="61"/>
      <c r="G144" s="61"/>
      <c r="H144" s="61"/>
      <c r="I144" s="61"/>
      <c r="J144" s="61"/>
    </row>
    <row r="145" spans="2:10" ht="15" customHeight="1">
      <c r="B145" s="61"/>
      <c r="C145" s="61"/>
      <c r="D145" s="61"/>
      <c r="E145" s="61"/>
      <c r="F145" s="61"/>
      <c r="G145" s="61"/>
      <c r="H145" s="61"/>
      <c r="I145" s="61"/>
      <c r="J145" s="61"/>
    </row>
    <row r="146" spans="2:10" ht="15" customHeight="1">
      <c r="B146" s="61"/>
      <c r="C146" s="61"/>
      <c r="D146" s="61"/>
      <c r="E146" s="61"/>
      <c r="F146" s="61"/>
      <c r="G146" s="61"/>
      <c r="H146" s="61"/>
      <c r="I146" s="61"/>
      <c r="J146" s="61"/>
    </row>
  </sheetData>
  <sheetProtection sheet="1" selectLockedCells="1"/>
  <mergeCells count="6">
    <mergeCell ref="AM2:AM3"/>
    <mergeCell ref="L2:AA3"/>
    <mergeCell ref="AE3:AI3"/>
    <mergeCell ref="C6:AH6"/>
    <mergeCell ref="AE2:AI2"/>
    <mergeCell ref="AK2:AK3"/>
  </mergeCells>
  <conditionalFormatting sqref="E21 E37:E39 E31:E35 E29 E27 E14:E16 E44 E46 T44 T46 E51 E53 E55 E57 E59 E61 E63 T51 T53 T55 T57 T59 T61 T63 E68 E70 T68 T70 T21 T23 T25 T27 T29 T31:T35 T37:T39 E23 E25">
    <cfRule type="cellIs" dxfId="1" priority="1" stopIfTrue="1" operator="equal">
      <formula>"L"</formula>
    </cfRule>
    <cfRule type="cellIs" dxfId="0" priority="2" stopIfTrue="1" operator="equal">
      <formula>"j"</formula>
    </cfRule>
  </conditionalFormatting>
  <dataValidations disablePrompts="1" count="2">
    <dataValidation type="list" allowBlank="1" showInputMessage="1" showErrorMessage="1" sqref="Q21 AG68 AG70 Q70 Q68 AG51 AG53 AG55 AG57 AG59 AG61 AG63 Q63 Q61 Q59 Q57 Q55 Q53 Q51 AG46 AG44 Q46 Q44 AG21 AG23 AG25 AG27 AG29 AG31:AG33 AG35 AG37 AG39 Q39 Q37 Q35 Q31:Q33 Q29 Q27 Q25 Q23" xr:uid="{00000000-0002-0000-0C00-000000000000}">
      <formula1>$E$77:$E$79</formula1>
    </dataValidation>
    <dataValidation type="list" allowBlank="1" showInputMessage="1" showErrorMessage="1" sqref="T34 E15 T38 AC12:AH12" xr:uid="{00000000-0002-0000-0C00-000001000000}">
      <formula1>#REF!</formula1>
    </dataValidation>
  </dataValidations>
  <hyperlinks>
    <hyperlink ref="AM2" location="'9_banderole'!S6" tooltip="Weiter zu Banderole" display="ð" xr:uid="{00000000-0004-0000-0C00-000000000000}"/>
    <hyperlink ref="AL2" location="start!A1" tooltip="zur Startseite" display="ñ" xr:uid="{00000000-0004-0000-0C00-000001000000}"/>
    <hyperlink ref="AK2" location="'7_verkostungsbogen'!I24" tooltip="zurück zum Verkostungsbogen" display="ï" xr:uid="{00000000-0004-0000-0C00-000002000000}"/>
  </hyperlinks>
  <printOptions horizontalCentered="1"/>
  <pageMargins left="0.70866141732283472" right="0.70866141732283472" top="0.78740157480314965" bottom="0.78740157480314965" header="0.51181102362204722" footer="0.51181102362204722"/>
  <pageSetup paperSize="9" orientation="portrait" r:id="rId1"/>
  <headerFooter alignWithMargins="0">
    <oddFooter>&amp;R&amp;"Arial,Fett"www.bierbrauerei.net</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B1:BF65"/>
  <sheetViews>
    <sheetView showGridLines="0" showRowColHeaders="0" zoomScale="110" zoomScaleNormal="110" workbookViewId="0">
      <pane ySplit="9" topLeftCell="A10" activePane="bottomLeft" state="frozen"/>
      <selection pane="bottomLeft" activeCell="BB4" sqref="BB4:BB5"/>
    </sheetView>
  </sheetViews>
  <sheetFormatPr baseColWidth="10" defaultColWidth="11.44140625" defaultRowHeight="14.4"/>
  <cols>
    <col min="1" max="1" width="2.88671875" style="268" customWidth="1"/>
    <col min="2" max="3" width="0.6640625" style="268" customWidth="1"/>
    <col min="4" max="48" width="2.88671875" style="268" customWidth="1"/>
    <col min="49" max="50" width="0.6640625" style="268" customWidth="1"/>
    <col min="51" max="51" width="2.88671875" style="268" customWidth="1"/>
    <col min="52" max="54" width="3.109375" style="268" customWidth="1"/>
    <col min="55" max="57" width="9.33203125" style="268" customWidth="1"/>
    <col min="58" max="58" width="1.44140625" style="268" customWidth="1"/>
    <col min="59" max="59" width="9.33203125" style="268" customWidth="1"/>
    <col min="60" max="253" width="11.44140625" style="268"/>
    <col min="254" max="254" width="2.88671875" style="268" customWidth="1"/>
    <col min="255" max="256" width="0.6640625" style="268" customWidth="1"/>
    <col min="257" max="301" width="2.88671875" style="268" customWidth="1"/>
    <col min="302" max="303" width="0.6640625" style="268" customWidth="1"/>
    <col min="304" max="306" width="2.88671875" style="268" customWidth="1"/>
    <col min="307" max="509" width="11.44140625" style="268"/>
    <col min="510" max="510" width="2.88671875" style="268" customWidth="1"/>
    <col min="511" max="512" width="0.6640625" style="268" customWidth="1"/>
    <col min="513" max="557" width="2.88671875" style="268" customWidth="1"/>
    <col min="558" max="559" width="0.6640625" style="268" customWidth="1"/>
    <col min="560" max="562" width="2.88671875" style="268" customWidth="1"/>
    <col min="563" max="765" width="11.44140625" style="268"/>
    <col min="766" max="766" width="2.88671875" style="268" customWidth="1"/>
    <col min="767" max="768" width="0.6640625" style="268" customWidth="1"/>
    <col min="769" max="813" width="2.88671875" style="268" customWidth="1"/>
    <col min="814" max="815" width="0.6640625" style="268" customWidth="1"/>
    <col min="816" max="818" width="2.88671875" style="268" customWidth="1"/>
    <col min="819" max="1021" width="11.44140625" style="268"/>
    <col min="1022" max="1022" width="2.88671875" style="268" customWidth="1"/>
    <col min="1023" max="1024" width="0.6640625" style="268" customWidth="1"/>
    <col min="1025" max="1069" width="2.88671875" style="268" customWidth="1"/>
    <col min="1070" max="1071" width="0.6640625" style="268" customWidth="1"/>
    <col min="1072" max="1074" width="2.88671875" style="268" customWidth="1"/>
    <col min="1075" max="1277" width="11.44140625" style="268"/>
    <col min="1278" max="1278" width="2.88671875" style="268" customWidth="1"/>
    <col min="1279" max="1280" width="0.6640625" style="268" customWidth="1"/>
    <col min="1281" max="1325" width="2.88671875" style="268" customWidth="1"/>
    <col min="1326" max="1327" width="0.6640625" style="268" customWidth="1"/>
    <col min="1328" max="1330" width="2.88671875" style="268" customWidth="1"/>
    <col min="1331" max="1533" width="11.44140625" style="268"/>
    <col min="1534" max="1534" width="2.88671875" style="268" customWidth="1"/>
    <col min="1535" max="1536" width="0.6640625" style="268" customWidth="1"/>
    <col min="1537" max="1581" width="2.88671875" style="268" customWidth="1"/>
    <col min="1582" max="1583" width="0.6640625" style="268" customWidth="1"/>
    <col min="1584" max="1586" width="2.88671875" style="268" customWidth="1"/>
    <col min="1587" max="1789" width="11.44140625" style="268"/>
    <col min="1790" max="1790" width="2.88671875" style="268" customWidth="1"/>
    <col min="1791" max="1792" width="0.6640625" style="268" customWidth="1"/>
    <col min="1793" max="1837" width="2.88671875" style="268" customWidth="1"/>
    <col min="1838" max="1839" width="0.6640625" style="268" customWidth="1"/>
    <col min="1840" max="1842" width="2.88671875" style="268" customWidth="1"/>
    <col min="1843" max="2045" width="11.44140625" style="268"/>
    <col min="2046" max="2046" width="2.88671875" style="268" customWidth="1"/>
    <col min="2047" max="2048" width="0.6640625" style="268" customWidth="1"/>
    <col min="2049" max="2093" width="2.88671875" style="268" customWidth="1"/>
    <col min="2094" max="2095" width="0.6640625" style="268" customWidth="1"/>
    <col min="2096" max="2098" width="2.88671875" style="268" customWidth="1"/>
    <col min="2099" max="2301" width="11.44140625" style="268"/>
    <col min="2302" max="2302" width="2.88671875" style="268" customWidth="1"/>
    <col min="2303" max="2304" width="0.6640625" style="268" customWidth="1"/>
    <col min="2305" max="2349" width="2.88671875" style="268" customWidth="1"/>
    <col min="2350" max="2351" width="0.6640625" style="268" customWidth="1"/>
    <col min="2352" max="2354" width="2.88671875" style="268" customWidth="1"/>
    <col min="2355" max="2557" width="11.44140625" style="268"/>
    <col min="2558" max="2558" width="2.88671875" style="268" customWidth="1"/>
    <col min="2559" max="2560" width="0.6640625" style="268" customWidth="1"/>
    <col min="2561" max="2605" width="2.88671875" style="268" customWidth="1"/>
    <col min="2606" max="2607" width="0.6640625" style="268" customWidth="1"/>
    <col min="2608" max="2610" width="2.88671875" style="268" customWidth="1"/>
    <col min="2611" max="2813" width="11.44140625" style="268"/>
    <col min="2814" max="2814" width="2.88671875" style="268" customWidth="1"/>
    <col min="2815" max="2816" width="0.6640625" style="268" customWidth="1"/>
    <col min="2817" max="2861" width="2.88671875" style="268" customWidth="1"/>
    <col min="2862" max="2863" width="0.6640625" style="268" customWidth="1"/>
    <col min="2864" max="2866" width="2.88671875" style="268" customWidth="1"/>
    <col min="2867" max="3069" width="11.44140625" style="268"/>
    <col min="3070" max="3070" width="2.88671875" style="268" customWidth="1"/>
    <col min="3071" max="3072" width="0.6640625" style="268" customWidth="1"/>
    <col min="3073" max="3117" width="2.88671875" style="268" customWidth="1"/>
    <col min="3118" max="3119" width="0.6640625" style="268" customWidth="1"/>
    <col min="3120" max="3122" width="2.88671875" style="268" customWidth="1"/>
    <col min="3123" max="3325" width="11.44140625" style="268"/>
    <col min="3326" max="3326" width="2.88671875" style="268" customWidth="1"/>
    <col min="3327" max="3328" width="0.6640625" style="268" customWidth="1"/>
    <col min="3329" max="3373" width="2.88671875" style="268" customWidth="1"/>
    <col min="3374" max="3375" width="0.6640625" style="268" customWidth="1"/>
    <col min="3376" max="3378" width="2.88671875" style="268" customWidth="1"/>
    <col min="3379" max="3581" width="11.44140625" style="268"/>
    <col min="3582" max="3582" width="2.88671875" style="268" customWidth="1"/>
    <col min="3583" max="3584" width="0.6640625" style="268" customWidth="1"/>
    <col min="3585" max="3629" width="2.88671875" style="268" customWidth="1"/>
    <col min="3630" max="3631" width="0.6640625" style="268" customWidth="1"/>
    <col min="3632" max="3634" width="2.88671875" style="268" customWidth="1"/>
    <col min="3635" max="3837" width="11.44140625" style="268"/>
    <col min="3838" max="3838" width="2.88671875" style="268" customWidth="1"/>
    <col min="3839" max="3840" width="0.6640625" style="268" customWidth="1"/>
    <col min="3841" max="3885" width="2.88671875" style="268" customWidth="1"/>
    <col min="3886" max="3887" width="0.6640625" style="268" customWidth="1"/>
    <col min="3888" max="3890" width="2.88671875" style="268" customWidth="1"/>
    <col min="3891" max="4093" width="11.44140625" style="268"/>
    <col min="4094" max="4094" width="2.88671875" style="268" customWidth="1"/>
    <col min="4095" max="4096" width="0.6640625" style="268" customWidth="1"/>
    <col min="4097" max="4141" width="2.88671875" style="268" customWidth="1"/>
    <col min="4142" max="4143" width="0.6640625" style="268" customWidth="1"/>
    <col min="4144" max="4146" width="2.88671875" style="268" customWidth="1"/>
    <col min="4147" max="4349" width="11.44140625" style="268"/>
    <col min="4350" max="4350" width="2.88671875" style="268" customWidth="1"/>
    <col min="4351" max="4352" width="0.6640625" style="268" customWidth="1"/>
    <col min="4353" max="4397" width="2.88671875" style="268" customWidth="1"/>
    <col min="4398" max="4399" width="0.6640625" style="268" customWidth="1"/>
    <col min="4400" max="4402" width="2.88671875" style="268" customWidth="1"/>
    <col min="4403" max="4605" width="11.44140625" style="268"/>
    <col min="4606" max="4606" width="2.88671875" style="268" customWidth="1"/>
    <col min="4607" max="4608" width="0.6640625" style="268" customWidth="1"/>
    <col min="4609" max="4653" width="2.88671875" style="268" customWidth="1"/>
    <col min="4654" max="4655" width="0.6640625" style="268" customWidth="1"/>
    <col min="4656" max="4658" width="2.88671875" style="268" customWidth="1"/>
    <col min="4659" max="4861" width="11.44140625" style="268"/>
    <col min="4862" max="4862" width="2.88671875" style="268" customWidth="1"/>
    <col min="4863" max="4864" width="0.6640625" style="268" customWidth="1"/>
    <col min="4865" max="4909" width="2.88671875" style="268" customWidth="1"/>
    <col min="4910" max="4911" width="0.6640625" style="268" customWidth="1"/>
    <col min="4912" max="4914" width="2.88671875" style="268" customWidth="1"/>
    <col min="4915" max="5117" width="11.44140625" style="268"/>
    <col min="5118" max="5118" width="2.88671875" style="268" customWidth="1"/>
    <col min="5119" max="5120" width="0.6640625" style="268" customWidth="1"/>
    <col min="5121" max="5165" width="2.88671875" style="268" customWidth="1"/>
    <col min="5166" max="5167" width="0.6640625" style="268" customWidth="1"/>
    <col min="5168" max="5170" width="2.88671875" style="268" customWidth="1"/>
    <col min="5171" max="5373" width="11.44140625" style="268"/>
    <col min="5374" max="5374" width="2.88671875" style="268" customWidth="1"/>
    <col min="5375" max="5376" width="0.6640625" style="268" customWidth="1"/>
    <col min="5377" max="5421" width="2.88671875" style="268" customWidth="1"/>
    <col min="5422" max="5423" width="0.6640625" style="268" customWidth="1"/>
    <col min="5424" max="5426" width="2.88671875" style="268" customWidth="1"/>
    <col min="5427" max="5629" width="11.44140625" style="268"/>
    <col min="5630" max="5630" width="2.88671875" style="268" customWidth="1"/>
    <col min="5631" max="5632" width="0.6640625" style="268" customWidth="1"/>
    <col min="5633" max="5677" width="2.88671875" style="268" customWidth="1"/>
    <col min="5678" max="5679" width="0.6640625" style="268" customWidth="1"/>
    <col min="5680" max="5682" width="2.88671875" style="268" customWidth="1"/>
    <col min="5683" max="5885" width="11.44140625" style="268"/>
    <col min="5886" max="5886" width="2.88671875" style="268" customWidth="1"/>
    <col min="5887" max="5888" width="0.6640625" style="268" customWidth="1"/>
    <col min="5889" max="5933" width="2.88671875" style="268" customWidth="1"/>
    <col min="5934" max="5935" width="0.6640625" style="268" customWidth="1"/>
    <col min="5936" max="5938" width="2.88671875" style="268" customWidth="1"/>
    <col min="5939" max="6141" width="11.44140625" style="268"/>
    <col min="6142" max="6142" width="2.88671875" style="268" customWidth="1"/>
    <col min="6143" max="6144" width="0.6640625" style="268" customWidth="1"/>
    <col min="6145" max="6189" width="2.88671875" style="268" customWidth="1"/>
    <col min="6190" max="6191" width="0.6640625" style="268" customWidth="1"/>
    <col min="6192" max="6194" width="2.88671875" style="268" customWidth="1"/>
    <col min="6195" max="6397" width="11.44140625" style="268"/>
    <col min="6398" max="6398" width="2.88671875" style="268" customWidth="1"/>
    <col min="6399" max="6400" width="0.6640625" style="268" customWidth="1"/>
    <col min="6401" max="6445" width="2.88671875" style="268" customWidth="1"/>
    <col min="6446" max="6447" width="0.6640625" style="268" customWidth="1"/>
    <col min="6448" max="6450" width="2.88671875" style="268" customWidth="1"/>
    <col min="6451" max="6653" width="11.44140625" style="268"/>
    <col min="6654" max="6654" width="2.88671875" style="268" customWidth="1"/>
    <col min="6655" max="6656" width="0.6640625" style="268" customWidth="1"/>
    <col min="6657" max="6701" width="2.88671875" style="268" customWidth="1"/>
    <col min="6702" max="6703" width="0.6640625" style="268" customWidth="1"/>
    <col min="6704" max="6706" width="2.88671875" style="268" customWidth="1"/>
    <col min="6707" max="6909" width="11.44140625" style="268"/>
    <col min="6910" max="6910" width="2.88671875" style="268" customWidth="1"/>
    <col min="6911" max="6912" width="0.6640625" style="268" customWidth="1"/>
    <col min="6913" max="6957" width="2.88671875" style="268" customWidth="1"/>
    <col min="6958" max="6959" width="0.6640625" style="268" customWidth="1"/>
    <col min="6960" max="6962" width="2.88671875" style="268" customWidth="1"/>
    <col min="6963" max="7165" width="11.44140625" style="268"/>
    <col min="7166" max="7166" width="2.88671875" style="268" customWidth="1"/>
    <col min="7167" max="7168" width="0.6640625" style="268" customWidth="1"/>
    <col min="7169" max="7213" width="2.88671875" style="268" customWidth="1"/>
    <col min="7214" max="7215" width="0.6640625" style="268" customWidth="1"/>
    <col min="7216" max="7218" width="2.88671875" style="268" customWidth="1"/>
    <col min="7219" max="7421" width="11.44140625" style="268"/>
    <col min="7422" max="7422" width="2.88671875" style="268" customWidth="1"/>
    <col min="7423" max="7424" width="0.6640625" style="268" customWidth="1"/>
    <col min="7425" max="7469" width="2.88671875" style="268" customWidth="1"/>
    <col min="7470" max="7471" width="0.6640625" style="268" customWidth="1"/>
    <col min="7472" max="7474" width="2.88671875" style="268" customWidth="1"/>
    <col min="7475" max="7677" width="11.44140625" style="268"/>
    <col min="7678" max="7678" width="2.88671875" style="268" customWidth="1"/>
    <col min="7679" max="7680" width="0.6640625" style="268" customWidth="1"/>
    <col min="7681" max="7725" width="2.88671875" style="268" customWidth="1"/>
    <col min="7726" max="7727" width="0.6640625" style="268" customWidth="1"/>
    <col min="7728" max="7730" width="2.88671875" style="268" customWidth="1"/>
    <col min="7731" max="7933" width="11.44140625" style="268"/>
    <col min="7934" max="7934" width="2.88671875" style="268" customWidth="1"/>
    <col min="7935" max="7936" width="0.6640625" style="268" customWidth="1"/>
    <col min="7937" max="7981" width="2.88671875" style="268" customWidth="1"/>
    <col min="7982" max="7983" width="0.6640625" style="268" customWidth="1"/>
    <col min="7984" max="7986" width="2.88671875" style="268" customWidth="1"/>
    <col min="7987" max="8189" width="11.44140625" style="268"/>
    <col min="8190" max="8190" width="2.88671875" style="268" customWidth="1"/>
    <col min="8191" max="8192" width="0.6640625" style="268" customWidth="1"/>
    <col min="8193" max="8237" width="2.88671875" style="268" customWidth="1"/>
    <col min="8238" max="8239" width="0.6640625" style="268" customWidth="1"/>
    <col min="8240" max="8242" width="2.88671875" style="268" customWidth="1"/>
    <col min="8243" max="8445" width="11.44140625" style="268"/>
    <col min="8446" max="8446" width="2.88671875" style="268" customWidth="1"/>
    <col min="8447" max="8448" width="0.6640625" style="268" customWidth="1"/>
    <col min="8449" max="8493" width="2.88671875" style="268" customWidth="1"/>
    <col min="8494" max="8495" width="0.6640625" style="268" customWidth="1"/>
    <col min="8496" max="8498" width="2.88671875" style="268" customWidth="1"/>
    <col min="8499" max="8701" width="11.44140625" style="268"/>
    <col min="8702" max="8702" width="2.88671875" style="268" customWidth="1"/>
    <col min="8703" max="8704" width="0.6640625" style="268" customWidth="1"/>
    <col min="8705" max="8749" width="2.88671875" style="268" customWidth="1"/>
    <col min="8750" max="8751" width="0.6640625" style="268" customWidth="1"/>
    <col min="8752" max="8754" width="2.88671875" style="268" customWidth="1"/>
    <col min="8755" max="8957" width="11.44140625" style="268"/>
    <col min="8958" max="8958" width="2.88671875" style="268" customWidth="1"/>
    <col min="8959" max="8960" width="0.6640625" style="268" customWidth="1"/>
    <col min="8961" max="9005" width="2.88671875" style="268" customWidth="1"/>
    <col min="9006" max="9007" width="0.6640625" style="268" customWidth="1"/>
    <col min="9008" max="9010" width="2.88671875" style="268" customWidth="1"/>
    <col min="9011" max="9213" width="11.44140625" style="268"/>
    <col min="9214" max="9214" width="2.88671875" style="268" customWidth="1"/>
    <col min="9215" max="9216" width="0.6640625" style="268" customWidth="1"/>
    <col min="9217" max="9261" width="2.88671875" style="268" customWidth="1"/>
    <col min="9262" max="9263" width="0.6640625" style="268" customWidth="1"/>
    <col min="9264" max="9266" width="2.88671875" style="268" customWidth="1"/>
    <col min="9267" max="9469" width="11.44140625" style="268"/>
    <col min="9470" max="9470" width="2.88671875" style="268" customWidth="1"/>
    <col min="9471" max="9472" width="0.6640625" style="268" customWidth="1"/>
    <col min="9473" max="9517" width="2.88671875" style="268" customWidth="1"/>
    <col min="9518" max="9519" width="0.6640625" style="268" customWidth="1"/>
    <col min="9520" max="9522" width="2.88671875" style="268" customWidth="1"/>
    <col min="9523" max="9725" width="11.44140625" style="268"/>
    <col min="9726" max="9726" width="2.88671875" style="268" customWidth="1"/>
    <col min="9727" max="9728" width="0.6640625" style="268" customWidth="1"/>
    <col min="9729" max="9773" width="2.88671875" style="268" customWidth="1"/>
    <col min="9774" max="9775" width="0.6640625" style="268" customWidth="1"/>
    <col min="9776" max="9778" width="2.88671875" style="268" customWidth="1"/>
    <col min="9779" max="9981" width="11.44140625" style="268"/>
    <col min="9982" max="9982" width="2.88671875" style="268" customWidth="1"/>
    <col min="9983" max="9984" width="0.6640625" style="268" customWidth="1"/>
    <col min="9985" max="10029" width="2.88671875" style="268" customWidth="1"/>
    <col min="10030" max="10031" width="0.6640625" style="268" customWidth="1"/>
    <col min="10032" max="10034" width="2.88671875" style="268" customWidth="1"/>
    <col min="10035" max="10237" width="11.44140625" style="268"/>
    <col min="10238" max="10238" width="2.88671875" style="268" customWidth="1"/>
    <col min="10239" max="10240" width="0.6640625" style="268" customWidth="1"/>
    <col min="10241" max="10285" width="2.88671875" style="268" customWidth="1"/>
    <col min="10286" max="10287" width="0.6640625" style="268" customWidth="1"/>
    <col min="10288" max="10290" width="2.88671875" style="268" customWidth="1"/>
    <col min="10291" max="10493" width="11.44140625" style="268"/>
    <col min="10494" max="10494" width="2.88671875" style="268" customWidth="1"/>
    <col min="10495" max="10496" width="0.6640625" style="268" customWidth="1"/>
    <col min="10497" max="10541" width="2.88671875" style="268" customWidth="1"/>
    <col min="10542" max="10543" width="0.6640625" style="268" customWidth="1"/>
    <col min="10544" max="10546" width="2.88671875" style="268" customWidth="1"/>
    <col min="10547" max="10749" width="11.44140625" style="268"/>
    <col min="10750" max="10750" width="2.88671875" style="268" customWidth="1"/>
    <col min="10751" max="10752" width="0.6640625" style="268" customWidth="1"/>
    <col min="10753" max="10797" width="2.88671875" style="268" customWidth="1"/>
    <col min="10798" max="10799" width="0.6640625" style="268" customWidth="1"/>
    <col min="10800" max="10802" width="2.88671875" style="268" customWidth="1"/>
    <col min="10803" max="11005" width="11.44140625" style="268"/>
    <col min="11006" max="11006" width="2.88671875" style="268" customWidth="1"/>
    <col min="11007" max="11008" width="0.6640625" style="268" customWidth="1"/>
    <col min="11009" max="11053" width="2.88671875" style="268" customWidth="1"/>
    <col min="11054" max="11055" width="0.6640625" style="268" customWidth="1"/>
    <col min="11056" max="11058" width="2.88671875" style="268" customWidth="1"/>
    <col min="11059" max="11261" width="11.44140625" style="268"/>
    <col min="11262" max="11262" width="2.88671875" style="268" customWidth="1"/>
    <col min="11263" max="11264" width="0.6640625" style="268" customWidth="1"/>
    <col min="11265" max="11309" width="2.88671875" style="268" customWidth="1"/>
    <col min="11310" max="11311" width="0.6640625" style="268" customWidth="1"/>
    <col min="11312" max="11314" width="2.88671875" style="268" customWidth="1"/>
    <col min="11315" max="11517" width="11.44140625" style="268"/>
    <col min="11518" max="11518" width="2.88671875" style="268" customWidth="1"/>
    <col min="11519" max="11520" width="0.6640625" style="268" customWidth="1"/>
    <col min="11521" max="11565" width="2.88671875" style="268" customWidth="1"/>
    <col min="11566" max="11567" width="0.6640625" style="268" customWidth="1"/>
    <col min="11568" max="11570" width="2.88671875" style="268" customWidth="1"/>
    <col min="11571" max="11773" width="11.44140625" style="268"/>
    <col min="11774" max="11774" width="2.88671875" style="268" customWidth="1"/>
    <col min="11775" max="11776" width="0.6640625" style="268" customWidth="1"/>
    <col min="11777" max="11821" width="2.88671875" style="268" customWidth="1"/>
    <col min="11822" max="11823" width="0.6640625" style="268" customWidth="1"/>
    <col min="11824" max="11826" width="2.88671875" style="268" customWidth="1"/>
    <col min="11827" max="12029" width="11.44140625" style="268"/>
    <col min="12030" max="12030" width="2.88671875" style="268" customWidth="1"/>
    <col min="12031" max="12032" width="0.6640625" style="268" customWidth="1"/>
    <col min="12033" max="12077" width="2.88671875" style="268" customWidth="1"/>
    <col min="12078" max="12079" width="0.6640625" style="268" customWidth="1"/>
    <col min="12080" max="12082" width="2.88671875" style="268" customWidth="1"/>
    <col min="12083" max="12285" width="11.44140625" style="268"/>
    <col min="12286" max="12286" width="2.88671875" style="268" customWidth="1"/>
    <col min="12287" max="12288" width="0.6640625" style="268" customWidth="1"/>
    <col min="12289" max="12333" width="2.88671875" style="268" customWidth="1"/>
    <col min="12334" max="12335" width="0.6640625" style="268" customWidth="1"/>
    <col min="12336" max="12338" width="2.88671875" style="268" customWidth="1"/>
    <col min="12339" max="12541" width="11.44140625" style="268"/>
    <col min="12542" max="12542" width="2.88671875" style="268" customWidth="1"/>
    <col min="12543" max="12544" width="0.6640625" style="268" customWidth="1"/>
    <col min="12545" max="12589" width="2.88671875" style="268" customWidth="1"/>
    <col min="12590" max="12591" width="0.6640625" style="268" customWidth="1"/>
    <col min="12592" max="12594" width="2.88671875" style="268" customWidth="1"/>
    <col min="12595" max="12797" width="11.44140625" style="268"/>
    <col min="12798" max="12798" width="2.88671875" style="268" customWidth="1"/>
    <col min="12799" max="12800" width="0.6640625" style="268" customWidth="1"/>
    <col min="12801" max="12845" width="2.88671875" style="268" customWidth="1"/>
    <col min="12846" max="12847" width="0.6640625" style="268" customWidth="1"/>
    <col min="12848" max="12850" width="2.88671875" style="268" customWidth="1"/>
    <col min="12851" max="13053" width="11.44140625" style="268"/>
    <col min="13054" max="13054" width="2.88671875" style="268" customWidth="1"/>
    <col min="13055" max="13056" width="0.6640625" style="268" customWidth="1"/>
    <col min="13057" max="13101" width="2.88671875" style="268" customWidth="1"/>
    <col min="13102" max="13103" width="0.6640625" style="268" customWidth="1"/>
    <col min="13104" max="13106" width="2.88671875" style="268" customWidth="1"/>
    <col min="13107" max="13309" width="11.44140625" style="268"/>
    <col min="13310" max="13310" width="2.88671875" style="268" customWidth="1"/>
    <col min="13311" max="13312" width="0.6640625" style="268" customWidth="1"/>
    <col min="13313" max="13357" width="2.88671875" style="268" customWidth="1"/>
    <col min="13358" max="13359" width="0.6640625" style="268" customWidth="1"/>
    <col min="13360" max="13362" width="2.88671875" style="268" customWidth="1"/>
    <col min="13363" max="13565" width="11.44140625" style="268"/>
    <col min="13566" max="13566" width="2.88671875" style="268" customWidth="1"/>
    <col min="13567" max="13568" width="0.6640625" style="268" customWidth="1"/>
    <col min="13569" max="13613" width="2.88671875" style="268" customWidth="1"/>
    <col min="13614" max="13615" width="0.6640625" style="268" customWidth="1"/>
    <col min="13616" max="13618" width="2.88671875" style="268" customWidth="1"/>
    <col min="13619" max="13821" width="11.44140625" style="268"/>
    <col min="13822" max="13822" width="2.88671875" style="268" customWidth="1"/>
    <col min="13823" max="13824" width="0.6640625" style="268" customWidth="1"/>
    <col min="13825" max="13869" width="2.88671875" style="268" customWidth="1"/>
    <col min="13870" max="13871" width="0.6640625" style="268" customWidth="1"/>
    <col min="13872" max="13874" width="2.88671875" style="268" customWidth="1"/>
    <col min="13875" max="14077" width="11.44140625" style="268"/>
    <col min="14078" max="14078" width="2.88671875" style="268" customWidth="1"/>
    <col min="14079" max="14080" width="0.6640625" style="268" customWidth="1"/>
    <col min="14081" max="14125" width="2.88671875" style="268" customWidth="1"/>
    <col min="14126" max="14127" width="0.6640625" style="268" customWidth="1"/>
    <col min="14128" max="14130" width="2.88671875" style="268" customWidth="1"/>
    <col min="14131" max="14333" width="11.44140625" style="268"/>
    <col min="14334" max="14334" width="2.88671875" style="268" customWidth="1"/>
    <col min="14335" max="14336" width="0.6640625" style="268" customWidth="1"/>
    <col min="14337" max="14381" width="2.88671875" style="268" customWidth="1"/>
    <col min="14382" max="14383" width="0.6640625" style="268" customWidth="1"/>
    <col min="14384" max="14386" width="2.88671875" style="268" customWidth="1"/>
    <col min="14387" max="14589" width="11.44140625" style="268"/>
    <col min="14590" max="14590" width="2.88671875" style="268" customWidth="1"/>
    <col min="14591" max="14592" width="0.6640625" style="268" customWidth="1"/>
    <col min="14593" max="14637" width="2.88671875" style="268" customWidth="1"/>
    <col min="14638" max="14639" width="0.6640625" style="268" customWidth="1"/>
    <col min="14640" max="14642" width="2.88671875" style="268" customWidth="1"/>
    <col min="14643" max="14845" width="11.44140625" style="268"/>
    <col min="14846" max="14846" width="2.88671875" style="268" customWidth="1"/>
    <col min="14847" max="14848" width="0.6640625" style="268" customWidth="1"/>
    <col min="14849" max="14893" width="2.88671875" style="268" customWidth="1"/>
    <col min="14894" max="14895" width="0.6640625" style="268" customWidth="1"/>
    <col min="14896" max="14898" width="2.88671875" style="268" customWidth="1"/>
    <col min="14899" max="15101" width="11.44140625" style="268"/>
    <col min="15102" max="15102" width="2.88671875" style="268" customWidth="1"/>
    <col min="15103" max="15104" width="0.6640625" style="268" customWidth="1"/>
    <col min="15105" max="15149" width="2.88671875" style="268" customWidth="1"/>
    <col min="15150" max="15151" width="0.6640625" style="268" customWidth="1"/>
    <col min="15152" max="15154" width="2.88671875" style="268" customWidth="1"/>
    <col min="15155" max="15357" width="11.44140625" style="268"/>
    <col min="15358" max="15358" width="2.88671875" style="268" customWidth="1"/>
    <col min="15359" max="15360" width="0.6640625" style="268" customWidth="1"/>
    <col min="15361" max="15405" width="2.88671875" style="268" customWidth="1"/>
    <col min="15406" max="15407" width="0.6640625" style="268" customWidth="1"/>
    <col min="15408" max="15410" width="2.88671875" style="268" customWidth="1"/>
    <col min="15411" max="15613" width="11.44140625" style="268"/>
    <col min="15614" max="15614" width="2.88671875" style="268" customWidth="1"/>
    <col min="15615" max="15616" width="0.6640625" style="268" customWidth="1"/>
    <col min="15617" max="15661" width="2.88671875" style="268" customWidth="1"/>
    <col min="15662" max="15663" width="0.6640625" style="268" customWidth="1"/>
    <col min="15664" max="15666" width="2.88671875" style="268" customWidth="1"/>
    <col min="15667" max="15869" width="11.44140625" style="268"/>
    <col min="15870" max="15870" width="2.88671875" style="268" customWidth="1"/>
    <col min="15871" max="15872" width="0.6640625" style="268" customWidth="1"/>
    <col min="15873" max="15917" width="2.88671875" style="268" customWidth="1"/>
    <col min="15918" max="15919" width="0.6640625" style="268" customWidth="1"/>
    <col min="15920" max="15922" width="2.88671875" style="268" customWidth="1"/>
    <col min="15923" max="16125" width="11.44140625" style="268"/>
    <col min="16126" max="16126" width="2.88671875" style="268" customWidth="1"/>
    <col min="16127" max="16128" width="0.6640625" style="268" customWidth="1"/>
    <col min="16129" max="16173" width="2.88671875" style="268" customWidth="1"/>
    <col min="16174" max="16175" width="0.6640625" style="268" customWidth="1"/>
    <col min="16176" max="16178" width="2.88671875" style="268" customWidth="1"/>
    <col min="16179" max="16384" width="11.44140625" style="268"/>
  </cols>
  <sheetData>
    <row r="1" spans="2:58" ht="6" customHeight="1"/>
    <row r="2" spans="2:58" ht="3.75" customHeight="1">
      <c r="B2" s="269"/>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O2" s="270"/>
      <c r="AP2" s="270"/>
      <c r="AQ2" s="270"/>
      <c r="AR2" s="270"/>
      <c r="AS2" s="270"/>
      <c r="AT2" s="270"/>
      <c r="AU2" s="270"/>
      <c r="AV2" s="270"/>
      <c r="AW2" s="270"/>
      <c r="AX2" s="271"/>
    </row>
    <row r="3" spans="2:58" ht="3.75" customHeight="1">
      <c r="B3" s="272"/>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M3" s="446"/>
      <c r="AN3" s="446"/>
      <c r="AO3" s="446"/>
      <c r="AP3" s="446"/>
      <c r="AQ3" s="446"/>
      <c r="AR3" s="446"/>
      <c r="AS3" s="446"/>
      <c r="AT3" s="446"/>
      <c r="AU3" s="446"/>
      <c r="AV3" s="446"/>
      <c r="AW3" s="446"/>
      <c r="AX3" s="273"/>
    </row>
    <row r="4" spans="2:58" ht="24" customHeight="1">
      <c r="B4" s="272"/>
      <c r="C4" s="446"/>
      <c r="D4" s="1151" t="s">
        <v>698</v>
      </c>
      <c r="E4" s="385"/>
      <c r="F4" s="385"/>
      <c r="G4" s="385"/>
      <c r="H4" s="1142">
        <f>'3_rezeptkarte'!$C$6</f>
        <v>0</v>
      </c>
      <c r="I4" s="1142"/>
      <c r="J4" s="1142"/>
      <c r="K4" s="1142"/>
      <c r="L4" s="1142"/>
      <c r="M4" s="1142"/>
      <c r="N4" s="1142"/>
      <c r="O4" s="1142"/>
      <c r="P4" s="1142"/>
      <c r="Q4" s="1142"/>
      <c r="R4" s="1142"/>
      <c r="S4" s="1142"/>
      <c r="T4" s="1142"/>
      <c r="U4" s="1142"/>
      <c r="V4" s="1143"/>
      <c r="W4" s="281"/>
      <c r="X4" s="281"/>
      <c r="Y4" s="282"/>
      <c r="Z4" s="274"/>
      <c r="AA4" s="1155" t="str">
        <f>CONCATENATE('7_verkostungsbogen'!$AV$13,'7_verkostungsbogen'!$G$15)</f>
        <v xml:space="preserve">Zutaten: Brauwasser, Hopfen (), bitte wählen Hefe </v>
      </c>
      <c r="AB4" s="1156"/>
      <c r="AC4" s="1156"/>
      <c r="AD4" s="1156"/>
      <c r="AE4" s="1156"/>
      <c r="AF4" s="1156"/>
      <c r="AG4" s="1156"/>
      <c r="AH4" s="1156"/>
      <c r="AI4" s="1156"/>
      <c r="AJ4" s="1156"/>
      <c r="AK4" s="1156"/>
      <c r="AL4" s="1156"/>
      <c r="AM4" s="1156"/>
      <c r="AN4" s="1156"/>
      <c r="AO4" s="1156"/>
      <c r="AP4" s="384"/>
      <c r="AQ4" s="384"/>
      <c r="AR4" s="384"/>
      <c r="AS4" s="384"/>
      <c r="AT4" s="384"/>
      <c r="AU4" s="384"/>
      <c r="AV4" s="384"/>
      <c r="AW4" s="446"/>
      <c r="AX4" s="273"/>
      <c r="AZ4" s="1130" t="s">
        <v>246</v>
      </c>
      <c r="BA4" s="439" t="s">
        <v>832</v>
      </c>
      <c r="BB4" s="1132" t="s">
        <v>242</v>
      </c>
    </row>
    <row r="5" spans="2:58" ht="12" customHeight="1">
      <c r="B5" s="272"/>
      <c r="C5" s="446"/>
      <c r="D5" s="1151"/>
      <c r="E5" s="283"/>
      <c r="F5" s="283"/>
      <c r="G5" s="283"/>
      <c r="H5" s="1144" t="str">
        <f>'4a_sud-journal'!$V$79</f>
        <v/>
      </c>
      <c r="I5" s="1144"/>
      <c r="J5" s="1145"/>
      <c r="K5" s="1146" t="str">
        <f>'5_gaerdiagramm'!$F$38</f>
        <v/>
      </c>
      <c r="L5" s="1147"/>
      <c r="M5" s="1147"/>
      <c r="N5" s="1147"/>
      <c r="O5" s="1148"/>
      <c r="P5" s="1152" t="str">
        <f>'3_rezeptkarte'!$T$8</f>
        <v/>
      </c>
      <c r="Q5" s="1153"/>
      <c r="R5" s="1154"/>
      <c r="S5" s="1149" t="str">
        <f>'3_rezeptkarte'!$AA$8</f>
        <v/>
      </c>
      <c r="T5" s="1149"/>
      <c r="U5" s="1149"/>
      <c r="V5" s="1143"/>
      <c r="Z5" s="274"/>
      <c r="AA5" s="1155"/>
      <c r="AB5" s="1156"/>
      <c r="AC5" s="1156"/>
      <c r="AD5" s="1156"/>
      <c r="AE5" s="1156"/>
      <c r="AF5" s="1156"/>
      <c r="AG5" s="1156"/>
      <c r="AH5" s="1156"/>
      <c r="AI5" s="1156"/>
      <c r="AJ5" s="1156"/>
      <c r="AK5" s="1156"/>
      <c r="AL5" s="1156"/>
      <c r="AM5" s="1156"/>
      <c r="AN5" s="1156"/>
      <c r="AO5" s="1156"/>
      <c r="AP5" s="384"/>
      <c r="AQ5" s="384"/>
      <c r="AR5" s="384"/>
      <c r="AS5" s="384"/>
      <c r="AT5" s="384"/>
      <c r="AU5" s="384"/>
      <c r="AV5" s="384"/>
      <c r="AW5" s="446"/>
      <c r="AX5" s="273"/>
      <c r="AZ5" s="1131"/>
      <c r="BA5" s="443"/>
      <c r="BB5" s="1133"/>
    </row>
    <row r="6" spans="2:58" ht="12" customHeight="1">
      <c r="B6" s="272"/>
      <c r="C6" s="446"/>
      <c r="D6" s="1151"/>
      <c r="E6" s="279"/>
      <c r="F6" s="279"/>
      <c r="G6" s="280"/>
      <c r="H6" s="280"/>
      <c r="I6" s="386"/>
      <c r="J6" s="386"/>
      <c r="K6" s="386"/>
      <c r="L6" s="280" t="s">
        <v>788</v>
      </c>
      <c r="M6" s="1150">
        <f>'1_vorbereitung'!$F$6</f>
        <v>0</v>
      </c>
      <c r="N6" s="1150"/>
      <c r="O6" s="1150"/>
      <c r="P6" s="386"/>
      <c r="Q6" s="386"/>
      <c r="R6" s="280" t="s">
        <v>834</v>
      </c>
      <c r="S6" s="1150">
        <v>43101</v>
      </c>
      <c r="T6" s="1150"/>
      <c r="U6" s="1150"/>
      <c r="V6" s="1143"/>
      <c r="Z6" s="274"/>
      <c r="AA6" s="1155"/>
      <c r="AB6" s="1156"/>
      <c r="AC6" s="1156"/>
      <c r="AD6" s="1156"/>
      <c r="AE6" s="1156"/>
      <c r="AF6" s="1156"/>
      <c r="AG6" s="1156"/>
      <c r="AH6" s="1156"/>
      <c r="AI6" s="1156"/>
      <c r="AJ6" s="1156"/>
      <c r="AK6" s="1156"/>
      <c r="AL6" s="1156"/>
      <c r="AM6" s="1156"/>
      <c r="AN6" s="1156"/>
      <c r="AO6" s="1156"/>
      <c r="AP6" s="384"/>
      <c r="AQ6" s="384"/>
      <c r="AR6" s="384"/>
      <c r="AS6" s="384"/>
      <c r="AT6" s="384"/>
      <c r="AU6" s="384"/>
      <c r="AV6" s="384"/>
      <c r="AW6" s="446"/>
      <c r="AX6" s="273"/>
    </row>
    <row r="7" spans="2:58" ht="3.75" customHeight="1">
      <c r="B7" s="272"/>
      <c r="C7" s="446"/>
      <c r="D7" s="446"/>
      <c r="E7" s="446"/>
      <c r="F7" s="446"/>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46"/>
      <c r="AS7" s="446"/>
      <c r="AT7" s="446"/>
      <c r="AU7" s="446"/>
      <c r="AV7" s="446"/>
      <c r="AW7" s="446"/>
      <c r="AX7" s="273"/>
    </row>
    <row r="8" spans="2:58" ht="3.75" customHeight="1">
      <c r="B8" s="275"/>
      <c r="C8" s="276"/>
      <c r="D8" s="276"/>
      <c r="E8" s="276"/>
      <c r="F8" s="276"/>
      <c r="G8" s="276"/>
      <c r="H8" s="276"/>
      <c r="I8" s="276"/>
      <c r="J8" s="276"/>
      <c r="K8" s="276"/>
      <c r="L8" s="276"/>
      <c r="M8" s="276"/>
      <c r="N8" s="276"/>
      <c r="O8" s="276"/>
      <c r="P8" s="276"/>
      <c r="Q8" s="276"/>
      <c r="R8" s="276"/>
      <c r="S8" s="276"/>
      <c r="T8" s="276"/>
      <c r="U8" s="276"/>
      <c r="V8" s="276"/>
      <c r="W8" s="276"/>
      <c r="X8" s="276"/>
      <c r="Y8" s="276"/>
      <c r="Z8" s="276"/>
      <c r="AA8" s="276"/>
      <c r="AB8" s="277"/>
      <c r="AC8" s="276"/>
      <c r="AD8" s="276"/>
      <c r="AE8" s="276"/>
      <c r="AF8" s="276"/>
      <c r="AG8" s="276"/>
      <c r="AH8" s="276"/>
      <c r="AI8" s="276"/>
      <c r="AJ8" s="276"/>
      <c r="AK8" s="276"/>
      <c r="AL8" s="276"/>
      <c r="AM8" s="276"/>
      <c r="AN8" s="276"/>
      <c r="AO8" s="276"/>
      <c r="AP8" s="276"/>
      <c r="AQ8" s="276"/>
      <c r="AR8" s="276"/>
      <c r="AS8" s="276"/>
      <c r="AT8" s="276"/>
      <c r="AU8" s="276"/>
      <c r="AV8" s="276"/>
      <c r="AW8" s="276"/>
      <c r="AX8" s="278"/>
    </row>
    <row r="9" spans="2:58" ht="3" customHeight="1"/>
    <row r="10" spans="2:58" ht="3.75" customHeight="1">
      <c r="B10" s="269"/>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1"/>
    </row>
    <row r="11" spans="2:58" ht="3.75" customHeight="1">
      <c r="B11" s="272"/>
      <c r="C11" s="446"/>
      <c r="D11" s="446"/>
      <c r="E11" s="446"/>
      <c r="F11" s="446"/>
      <c r="G11" s="446"/>
      <c r="H11" s="446"/>
      <c r="I11" s="446"/>
      <c r="J11" s="446"/>
      <c r="K11" s="446"/>
      <c r="L11" s="446"/>
      <c r="M11" s="446"/>
      <c r="N11" s="446"/>
      <c r="O11" s="446"/>
      <c r="P11" s="446"/>
      <c r="Q11" s="446"/>
      <c r="R11" s="446"/>
      <c r="S11" s="446"/>
      <c r="T11" s="446"/>
      <c r="U11" s="446"/>
      <c r="V11" s="446"/>
      <c r="W11" s="446"/>
      <c r="X11" s="446"/>
      <c r="Y11" s="446"/>
      <c r="Z11" s="446"/>
      <c r="AA11" s="446"/>
      <c r="AB11" s="446"/>
      <c r="AC11" s="446"/>
      <c r="AD11" s="446"/>
      <c r="AE11" s="446"/>
      <c r="AF11" s="446"/>
      <c r="AG11" s="446"/>
      <c r="AH11" s="446"/>
      <c r="AI11" s="446"/>
      <c r="AJ11" s="446"/>
      <c r="AK11" s="446"/>
      <c r="AL11" s="446"/>
      <c r="AM11" s="446"/>
      <c r="AN11" s="446"/>
      <c r="AO11" s="446"/>
      <c r="AP11" s="446"/>
      <c r="AQ11" s="446"/>
      <c r="AR11" s="446"/>
      <c r="AS11" s="446"/>
      <c r="AT11" s="446"/>
      <c r="AU11" s="446"/>
      <c r="AV11" s="446"/>
      <c r="AW11" s="446"/>
      <c r="AX11" s="273"/>
    </row>
    <row r="12" spans="2:58" ht="24" customHeight="1">
      <c r="B12" s="272"/>
      <c r="C12" s="446"/>
      <c r="D12" s="1151" t="s">
        <v>698</v>
      </c>
      <c r="E12" s="385"/>
      <c r="F12" s="385"/>
      <c r="G12" s="385"/>
      <c r="H12" s="1142">
        <f>'3_rezeptkarte'!$C$6</f>
        <v>0</v>
      </c>
      <c r="I12" s="1142"/>
      <c r="J12" s="1142"/>
      <c r="K12" s="1142"/>
      <c r="L12" s="1142"/>
      <c r="M12" s="1142"/>
      <c r="N12" s="1142"/>
      <c r="O12" s="1142"/>
      <c r="P12" s="1142"/>
      <c r="Q12" s="1142"/>
      <c r="R12" s="1142"/>
      <c r="S12" s="1142"/>
      <c r="T12" s="1142"/>
      <c r="U12" s="1142"/>
      <c r="V12" s="1143"/>
      <c r="W12" s="281"/>
      <c r="X12" s="281"/>
      <c r="Y12" s="282"/>
      <c r="Z12" s="274"/>
      <c r="AA12" s="1155" t="str">
        <f>CONCATENATE('7_verkostungsbogen'!$AV$13,'7_verkostungsbogen'!$G$15)</f>
        <v xml:space="preserve">Zutaten: Brauwasser, Hopfen (), bitte wählen Hefe </v>
      </c>
      <c r="AB12" s="1156"/>
      <c r="AC12" s="1156"/>
      <c r="AD12" s="1156"/>
      <c r="AE12" s="1156"/>
      <c r="AF12" s="1156"/>
      <c r="AG12" s="1156"/>
      <c r="AH12" s="1156"/>
      <c r="AI12" s="1156"/>
      <c r="AJ12" s="1156"/>
      <c r="AK12" s="1156"/>
      <c r="AL12" s="1156"/>
      <c r="AM12" s="1156"/>
      <c r="AN12" s="1156"/>
      <c r="AO12" s="1156"/>
      <c r="AP12" s="384"/>
      <c r="AQ12" s="384"/>
      <c r="AR12" s="384"/>
      <c r="AS12" s="384"/>
      <c r="AT12" s="384"/>
      <c r="AU12" s="384"/>
      <c r="AV12" s="384"/>
      <c r="AW12" s="446"/>
      <c r="AX12" s="273"/>
      <c r="AZ12" s="576" t="s">
        <v>757</v>
      </c>
      <c r="BA12" s="270"/>
      <c r="BB12" s="270"/>
      <c r="BC12" s="270"/>
      <c r="BD12" s="270"/>
      <c r="BE12" s="270"/>
      <c r="BF12" s="272"/>
    </row>
    <row r="13" spans="2:58" ht="12" customHeight="1">
      <c r="B13" s="272"/>
      <c r="C13" s="446"/>
      <c r="D13" s="1151"/>
      <c r="E13" s="283"/>
      <c r="F13" s="283"/>
      <c r="G13" s="283"/>
      <c r="H13" s="1144" t="str">
        <f>'4a_sud-journal'!$V$79</f>
        <v/>
      </c>
      <c r="I13" s="1144"/>
      <c r="J13" s="1145"/>
      <c r="K13" s="1146" t="str">
        <f>'5_gaerdiagramm'!$F$38</f>
        <v/>
      </c>
      <c r="L13" s="1147"/>
      <c r="M13" s="1147"/>
      <c r="N13" s="1147"/>
      <c r="O13" s="1148"/>
      <c r="P13" s="1152" t="str">
        <f>'3_rezeptkarte'!$T$8</f>
        <v/>
      </c>
      <c r="Q13" s="1153"/>
      <c r="R13" s="1154"/>
      <c r="S13" s="1149" t="str">
        <f>'3_rezeptkarte'!$AA$8</f>
        <v/>
      </c>
      <c r="T13" s="1149"/>
      <c r="U13" s="1149"/>
      <c r="V13" s="1143"/>
      <c r="Z13" s="274"/>
      <c r="AA13" s="1155"/>
      <c r="AB13" s="1156"/>
      <c r="AC13" s="1156"/>
      <c r="AD13" s="1156"/>
      <c r="AE13" s="1156"/>
      <c r="AF13" s="1156"/>
      <c r="AG13" s="1156"/>
      <c r="AH13" s="1156"/>
      <c r="AI13" s="1156"/>
      <c r="AJ13" s="1156"/>
      <c r="AK13" s="1156"/>
      <c r="AL13" s="1156"/>
      <c r="AM13" s="1156"/>
      <c r="AN13" s="1156"/>
      <c r="AO13" s="1156"/>
      <c r="AP13" s="384"/>
      <c r="AQ13" s="384"/>
      <c r="AR13" s="384"/>
      <c r="AS13" s="384"/>
      <c r="AT13" s="384"/>
      <c r="AU13" s="384"/>
      <c r="AV13" s="384"/>
      <c r="AW13" s="446"/>
      <c r="AX13" s="273"/>
      <c r="AZ13" s="272"/>
      <c r="BF13" s="272"/>
    </row>
    <row r="14" spans="2:58" ht="12" customHeight="1">
      <c r="B14" s="272"/>
      <c r="C14" s="446"/>
      <c r="D14" s="1151"/>
      <c r="E14" s="279"/>
      <c r="F14" s="279"/>
      <c r="G14" s="280"/>
      <c r="H14" s="280"/>
      <c r="I14" s="386"/>
      <c r="J14" s="386"/>
      <c r="K14" s="386"/>
      <c r="L14" s="280" t="s">
        <v>788</v>
      </c>
      <c r="M14" s="1150">
        <f>'1_vorbereitung'!$F$6</f>
        <v>0</v>
      </c>
      <c r="N14" s="1150"/>
      <c r="O14" s="1150"/>
      <c r="P14" s="386"/>
      <c r="Q14" s="386"/>
      <c r="R14" s="280" t="s">
        <v>834</v>
      </c>
      <c r="S14" s="1150">
        <f>$S$6</f>
        <v>43101</v>
      </c>
      <c r="T14" s="1150"/>
      <c r="U14" s="1150"/>
      <c r="V14" s="1143"/>
      <c r="Z14" s="274"/>
      <c r="AA14" s="1155"/>
      <c r="AB14" s="1156"/>
      <c r="AC14" s="1156"/>
      <c r="AD14" s="1156"/>
      <c r="AE14" s="1156"/>
      <c r="AF14" s="1156"/>
      <c r="AG14" s="1156"/>
      <c r="AH14" s="1156"/>
      <c r="AI14" s="1156"/>
      <c r="AJ14" s="1156"/>
      <c r="AK14" s="1156"/>
      <c r="AL14" s="1156"/>
      <c r="AM14" s="1156"/>
      <c r="AN14" s="1156"/>
      <c r="AO14" s="1156"/>
      <c r="AP14" s="384"/>
      <c r="AQ14" s="384"/>
      <c r="AR14" s="384"/>
      <c r="AS14" s="384"/>
      <c r="AT14" s="384"/>
      <c r="AU14" s="384"/>
      <c r="AV14" s="384"/>
      <c r="AW14" s="446"/>
      <c r="AX14" s="273"/>
      <c r="AZ14" s="272"/>
      <c r="BF14" s="272"/>
    </row>
    <row r="15" spans="2:58" ht="3.75" customHeight="1">
      <c r="B15" s="272"/>
      <c r="C15" s="446"/>
      <c r="D15" s="446"/>
      <c r="E15" s="446"/>
      <c r="F15" s="446"/>
      <c r="G15" s="446"/>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446"/>
      <c r="AF15" s="446"/>
      <c r="AG15" s="446"/>
      <c r="AH15" s="446"/>
      <c r="AI15" s="446"/>
      <c r="AJ15" s="446"/>
      <c r="AK15" s="446"/>
      <c r="AL15" s="446"/>
      <c r="AM15" s="446"/>
      <c r="AN15" s="446"/>
      <c r="AO15" s="446"/>
      <c r="AP15" s="446"/>
      <c r="AQ15" s="446"/>
      <c r="AR15" s="446"/>
      <c r="AS15" s="446"/>
      <c r="AT15" s="446"/>
      <c r="AU15" s="446"/>
      <c r="AV15" s="446"/>
      <c r="AW15" s="446"/>
      <c r="AX15" s="273"/>
      <c r="AZ15" s="272"/>
      <c r="BF15" s="272"/>
    </row>
    <row r="16" spans="2:58" ht="3.75" customHeight="1">
      <c r="B16" s="275"/>
      <c r="C16" s="276"/>
      <c r="D16" s="276"/>
      <c r="E16" s="276"/>
      <c r="F16" s="276"/>
      <c r="G16" s="276"/>
      <c r="H16" s="276"/>
      <c r="I16" s="276"/>
      <c r="J16" s="276"/>
      <c r="K16" s="276"/>
      <c r="L16" s="276"/>
      <c r="M16" s="276"/>
      <c r="N16" s="276"/>
      <c r="O16" s="276"/>
      <c r="P16" s="276"/>
      <c r="Q16" s="276"/>
      <c r="R16" s="276"/>
      <c r="S16" s="276"/>
      <c r="T16" s="276"/>
      <c r="U16" s="276"/>
      <c r="V16" s="276"/>
      <c r="W16" s="276"/>
      <c r="X16" s="276"/>
      <c r="Y16" s="276"/>
      <c r="Z16" s="276"/>
      <c r="AA16" s="276"/>
      <c r="AB16" s="277"/>
      <c r="AC16" s="276"/>
      <c r="AD16" s="276"/>
      <c r="AE16" s="276"/>
      <c r="AF16" s="276"/>
      <c r="AG16" s="276"/>
      <c r="AH16" s="276"/>
      <c r="AI16" s="276"/>
      <c r="AJ16" s="276"/>
      <c r="AK16" s="276"/>
      <c r="AL16" s="276"/>
      <c r="AM16" s="276"/>
      <c r="AN16" s="276"/>
      <c r="AO16" s="276"/>
      <c r="AP16" s="276"/>
      <c r="AQ16" s="276"/>
      <c r="AR16" s="276"/>
      <c r="AS16" s="276"/>
      <c r="AT16" s="276"/>
      <c r="AU16" s="276"/>
      <c r="AV16" s="276"/>
      <c r="AW16" s="276"/>
      <c r="AX16" s="278"/>
      <c r="AZ16" s="272"/>
      <c r="BF16" s="272"/>
    </row>
    <row r="17" spans="2:58" ht="3" customHeight="1">
      <c r="AZ17" s="272"/>
      <c r="BF17" s="272"/>
    </row>
    <row r="18" spans="2:58" ht="3.75" customHeight="1">
      <c r="B18" s="269"/>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1"/>
      <c r="AZ18" s="272"/>
      <c r="BF18" s="272"/>
    </row>
    <row r="19" spans="2:58" ht="3.75" customHeight="1">
      <c r="B19" s="272"/>
      <c r="C19" s="446"/>
      <c r="D19" s="446"/>
      <c r="E19" s="446"/>
      <c r="F19" s="446"/>
      <c r="G19" s="446"/>
      <c r="H19" s="446"/>
      <c r="I19" s="446"/>
      <c r="J19" s="446"/>
      <c r="K19" s="446"/>
      <c r="L19" s="446"/>
      <c r="M19" s="446"/>
      <c r="N19" s="446"/>
      <c r="O19" s="446"/>
      <c r="P19" s="446"/>
      <c r="Q19" s="446"/>
      <c r="R19" s="446"/>
      <c r="S19" s="446"/>
      <c r="T19" s="446"/>
      <c r="U19" s="446"/>
      <c r="V19" s="446"/>
      <c r="W19" s="446"/>
      <c r="X19" s="446"/>
      <c r="Y19" s="446"/>
      <c r="Z19" s="446"/>
      <c r="AA19" s="446"/>
      <c r="AB19" s="446"/>
      <c r="AC19" s="446"/>
      <c r="AD19" s="446"/>
      <c r="AE19" s="446"/>
      <c r="AF19" s="446"/>
      <c r="AG19" s="446"/>
      <c r="AH19" s="446"/>
      <c r="AI19" s="446"/>
      <c r="AJ19" s="446"/>
      <c r="AK19" s="446"/>
      <c r="AL19" s="446"/>
      <c r="AM19" s="446"/>
      <c r="AN19" s="446"/>
      <c r="AO19" s="446"/>
      <c r="AP19" s="446"/>
      <c r="AQ19" s="446"/>
      <c r="AR19" s="446"/>
      <c r="AS19" s="446"/>
      <c r="AT19" s="446"/>
      <c r="AU19" s="446"/>
      <c r="AV19" s="446"/>
      <c r="AW19" s="446"/>
      <c r="AX19" s="273"/>
      <c r="AZ19" s="272"/>
      <c r="BF19" s="272"/>
    </row>
    <row r="20" spans="2:58" ht="24" customHeight="1">
      <c r="B20" s="272"/>
      <c r="C20" s="446"/>
      <c r="D20" s="1151" t="s">
        <v>698</v>
      </c>
      <c r="E20" s="385"/>
      <c r="F20" s="385"/>
      <c r="G20" s="385"/>
      <c r="H20" s="1142">
        <f>'3_rezeptkarte'!$C$6</f>
        <v>0</v>
      </c>
      <c r="I20" s="1142"/>
      <c r="J20" s="1142"/>
      <c r="K20" s="1142"/>
      <c r="L20" s="1142"/>
      <c r="M20" s="1142"/>
      <c r="N20" s="1142"/>
      <c r="O20" s="1142"/>
      <c r="P20" s="1142"/>
      <c r="Q20" s="1142"/>
      <c r="R20" s="1142"/>
      <c r="S20" s="1142"/>
      <c r="T20" s="1142"/>
      <c r="U20" s="1142"/>
      <c r="V20" s="1143"/>
      <c r="W20" s="281"/>
      <c r="X20" s="281"/>
      <c r="Y20" s="282"/>
      <c r="Z20" s="274"/>
      <c r="AA20" s="1155" t="str">
        <f>CONCATENATE('7_verkostungsbogen'!$AV$13,'7_verkostungsbogen'!$G$15)</f>
        <v xml:space="preserve">Zutaten: Brauwasser, Hopfen (), bitte wählen Hefe </v>
      </c>
      <c r="AB20" s="1156"/>
      <c r="AC20" s="1156"/>
      <c r="AD20" s="1156"/>
      <c r="AE20" s="1156"/>
      <c r="AF20" s="1156"/>
      <c r="AG20" s="1156"/>
      <c r="AH20" s="1156"/>
      <c r="AI20" s="1156"/>
      <c r="AJ20" s="1156"/>
      <c r="AK20" s="1156"/>
      <c r="AL20" s="1156"/>
      <c r="AM20" s="1156"/>
      <c r="AN20" s="1156"/>
      <c r="AO20" s="1156"/>
      <c r="AP20" s="384"/>
      <c r="AQ20" s="384"/>
      <c r="AR20" s="384"/>
      <c r="AS20" s="384"/>
      <c r="AT20" s="384"/>
      <c r="AU20" s="384"/>
      <c r="AV20" s="384"/>
      <c r="AW20" s="446"/>
      <c r="AX20" s="273"/>
      <c r="AZ20" s="272"/>
      <c r="BF20" s="272"/>
    </row>
    <row r="21" spans="2:58" ht="12" customHeight="1">
      <c r="B21" s="272"/>
      <c r="C21" s="446"/>
      <c r="D21" s="1151"/>
      <c r="E21" s="283"/>
      <c r="F21" s="283"/>
      <c r="G21" s="283"/>
      <c r="H21" s="1144" t="str">
        <f>'4a_sud-journal'!$V$79</f>
        <v/>
      </c>
      <c r="I21" s="1144"/>
      <c r="J21" s="1145"/>
      <c r="K21" s="1146" t="str">
        <f>'5_gaerdiagramm'!$F$38</f>
        <v/>
      </c>
      <c r="L21" s="1147"/>
      <c r="M21" s="1147"/>
      <c r="N21" s="1147"/>
      <c r="O21" s="1148"/>
      <c r="P21" s="1152" t="str">
        <f>'3_rezeptkarte'!$T$8</f>
        <v/>
      </c>
      <c r="Q21" s="1153"/>
      <c r="R21" s="1154"/>
      <c r="S21" s="1149" t="str">
        <f>'3_rezeptkarte'!$AA$8</f>
        <v/>
      </c>
      <c r="T21" s="1149"/>
      <c r="U21" s="1149"/>
      <c r="V21" s="1143"/>
      <c r="Z21" s="274"/>
      <c r="AA21" s="1155"/>
      <c r="AB21" s="1156"/>
      <c r="AC21" s="1156"/>
      <c r="AD21" s="1156"/>
      <c r="AE21" s="1156"/>
      <c r="AF21" s="1156"/>
      <c r="AG21" s="1156"/>
      <c r="AH21" s="1156"/>
      <c r="AI21" s="1156"/>
      <c r="AJ21" s="1156"/>
      <c r="AK21" s="1156"/>
      <c r="AL21" s="1156"/>
      <c r="AM21" s="1156"/>
      <c r="AN21" s="1156"/>
      <c r="AO21" s="1156"/>
      <c r="AP21" s="384"/>
      <c r="AQ21" s="384"/>
      <c r="AR21" s="384"/>
      <c r="AS21" s="384"/>
      <c r="AT21" s="384"/>
      <c r="AU21" s="384"/>
      <c r="AV21" s="384"/>
      <c r="AW21" s="446"/>
      <c r="AX21" s="273"/>
      <c r="AZ21" s="272"/>
      <c r="BF21" s="272"/>
    </row>
    <row r="22" spans="2:58" ht="12" customHeight="1">
      <c r="B22" s="272"/>
      <c r="C22" s="446"/>
      <c r="D22" s="1151"/>
      <c r="E22" s="279"/>
      <c r="F22" s="279"/>
      <c r="G22" s="280"/>
      <c r="H22" s="280"/>
      <c r="I22" s="386"/>
      <c r="J22" s="386"/>
      <c r="K22" s="386"/>
      <c r="L22" s="280" t="s">
        <v>788</v>
      </c>
      <c r="M22" s="1150">
        <f>'1_vorbereitung'!$F$6</f>
        <v>0</v>
      </c>
      <c r="N22" s="1150"/>
      <c r="O22" s="1150"/>
      <c r="P22" s="386"/>
      <c r="Q22" s="386"/>
      <c r="R22" s="280" t="s">
        <v>834</v>
      </c>
      <c r="S22" s="1150">
        <f>$S$6</f>
        <v>43101</v>
      </c>
      <c r="T22" s="1150"/>
      <c r="U22" s="1150"/>
      <c r="V22" s="1143"/>
      <c r="Z22" s="274"/>
      <c r="AA22" s="1155"/>
      <c r="AB22" s="1156"/>
      <c r="AC22" s="1156"/>
      <c r="AD22" s="1156"/>
      <c r="AE22" s="1156"/>
      <c r="AF22" s="1156"/>
      <c r="AG22" s="1156"/>
      <c r="AH22" s="1156"/>
      <c r="AI22" s="1156"/>
      <c r="AJ22" s="1156"/>
      <c r="AK22" s="1156"/>
      <c r="AL22" s="1156"/>
      <c r="AM22" s="1156"/>
      <c r="AN22" s="1156"/>
      <c r="AO22" s="1156"/>
      <c r="AP22" s="384"/>
      <c r="AQ22" s="384"/>
      <c r="AR22" s="384"/>
      <c r="AS22" s="384"/>
      <c r="AT22" s="384"/>
      <c r="AU22" s="384"/>
      <c r="AV22" s="384"/>
      <c r="AW22" s="446"/>
      <c r="AX22" s="273"/>
      <c r="AZ22" s="272"/>
      <c r="BF22" s="272"/>
    </row>
    <row r="23" spans="2:58" ht="3.75" customHeight="1">
      <c r="B23" s="272"/>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273"/>
      <c r="AZ23" s="272"/>
      <c r="BF23" s="272"/>
    </row>
    <row r="24" spans="2:58" ht="3.75" customHeight="1">
      <c r="B24" s="275"/>
      <c r="C24" s="276"/>
      <c r="D24" s="276"/>
      <c r="E24" s="276"/>
      <c r="F24" s="276"/>
      <c r="G24" s="276"/>
      <c r="H24" s="276"/>
      <c r="I24" s="276"/>
      <c r="J24" s="276"/>
      <c r="K24" s="276"/>
      <c r="L24" s="276"/>
      <c r="M24" s="276"/>
      <c r="N24" s="276"/>
      <c r="O24" s="276"/>
      <c r="P24" s="276"/>
      <c r="Q24" s="276"/>
      <c r="R24" s="276"/>
      <c r="S24" s="276"/>
      <c r="T24" s="276"/>
      <c r="U24" s="276"/>
      <c r="V24" s="276"/>
      <c r="W24" s="276"/>
      <c r="X24" s="276"/>
      <c r="Y24" s="276"/>
      <c r="Z24" s="276"/>
      <c r="AA24" s="276"/>
      <c r="AB24" s="277"/>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8"/>
      <c r="AZ24" s="272"/>
      <c r="BF24" s="272"/>
    </row>
    <row r="25" spans="2:58" ht="3" customHeight="1">
      <c r="AZ25" s="272"/>
      <c r="BF25" s="272"/>
    </row>
    <row r="26" spans="2:58" ht="3.75" customHeight="1">
      <c r="B26" s="269"/>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1"/>
      <c r="AZ26" s="275"/>
      <c r="BA26" s="276"/>
      <c r="BB26" s="276"/>
      <c r="BC26" s="276"/>
      <c r="BD26" s="276"/>
      <c r="BE26" s="276"/>
      <c r="BF26" s="272"/>
    </row>
    <row r="27" spans="2:58" ht="3.75" customHeight="1">
      <c r="B27" s="272"/>
      <c r="C27" s="446"/>
      <c r="D27" s="446"/>
      <c r="E27" s="446"/>
      <c r="F27" s="446"/>
      <c r="G27" s="446"/>
      <c r="H27" s="446"/>
      <c r="I27" s="446"/>
      <c r="J27" s="446"/>
      <c r="K27" s="446"/>
      <c r="L27" s="446"/>
      <c r="M27" s="446"/>
      <c r="N27" s="446"/>
      <c r="O27" s="446"/>
      <c r="P27" s="446"/>
      <c r="Q27" s="446"/>
      <c r="R27" s="446"/>
      <c r="S27" s="446"/>
      <c r="T27" s="446"/>
      <c r="U27" s="446"/>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273"/>
    </row>
    <row r="28" spans="2:58" ht="24" customHeight="1">
      <c r="B28" s="272"/>
      <c r="C28" s="446"/>
      <c r="D28" s="1151" t="s">
        <v>698</v>
      </c>
      <c r="E28" s="385"/>
      <c r="F28" s="385"/>
      <c r="G28" s="385"/>
      <c r="H28" s="1142">
        <f>'3_rezeptkarte'!$C$6</f>
        <v>0</v>
      </c>
      <c r="I28" s="1142"/>
      <c r="J28" s="1142"/>
      <c r="K28" s="1142"/>
      <c r="L28" s="1142"/>
      <c r="M28" s="1142"/>
      <c r="N28" s="1142"/>
      <c r="O28" s="1142"/>
      <c r="P28" s="1142"/>
      <c r="Q28" s="1142"/>
      <c r="R28" s="1142"/>
      <c r="S28" s="1142"/>
      <c r="T28" s="1142"/>
      <c r="U28" s="1142"/>
      <c r="V28" s="1143"/>
      <c r="W28" s="281"/>
      <c r="X28" s="281"/>
      <c r="Y28" s="282"/>
      <c r="Z28" s="274"/>
      <c r="AA28" s="1155" t="str">
        <f>CONCATENATE('7_verkostungsbogen'!$AV$13,'7_verkostungsbogen'!$G$15)</f>
        <v xml:space="preserve">Zutaten: Brauwasser, Hopfen (), bitte wählen Hefe </v>
      </c>
      <c r="AB28" s="1156"/>
      <c r="AC28" s="1156"/>
      <c r="AD28" s="1156"/>
      <c r="AE28" s="1156"/>
      <c r="AF28" s="1156"/>
      <c r="AG28" s="1156"/>
      <c r="AH28" s="1156"/>
      <c r="AI28" s="1156"/>
      <c r="AJ28" s="1156"/>
      <c r="AK28" s="1156"/>
      <c r="AL28" s="1156"/>
      <c r="AM28" s="1156"/>
      <c r="AN28" s="1156"/>
      <c r="AO28" s="1156"/>
      <c r="AP28" s="384"/>
      <c r="AQ28" s="384"/>
      <c r="AR28" s="384"/>
      <c r="AS28" s="384"/>
      <c r="AT28" s="384"/>
      <c r="AU28" s="384"/>
      <c r="AV28" s="384"/>
      <c r="AW28" s="446"/>
      <c r="AX28" s="273"/>
      <c r="AZ28" s="583" t="s">
        <v>1138</v>
      </c>
      <c r="BA28" s="581"/>
      <c r="BB28" s="581"/>
      <c r="BC28" s="581"/>
      <c r="BD28" s="581"/>
      <c r="BE28" s="582"/>
    </row>
    <row r="29" spans="2:58" ht="12" customHeight="1">
      <c r="B29" s="272"/>
      <c r="C29" s="446"/>
      <c r="D29" s="1151"/>
      <c r="E29" s="283"/>
      <c r="F29" s="283"/>
      <c r="G29" s="283"/>
      <c r="H29" s="1144" t="str">
        <f>'4a_sud-journal'!$V$79</f>
        <v/>
      </c>
      <c r="I29" s="1144"/>
      <c r="J29" s="1145"/>
      <c r="K29" s="1146" t="str">
        <f>'5_gaerdiagramm'!$F$38</f>
        <v/>
      </c>
      <c r="L29" s="1147"/>
      <c r="M29" s="1147"/>
      <c r="N29" s="1147"/>
      <c r="O29" s="1148"/>
      <c r="P29" s="1152" t="str">
        <f>'3_rezeptkarte'!$T$8</f>
        <v/>
      </c>
      <c r="Q29" s="1153"/>
      <c r="R29" s="1154"/>
      <c r="S29" s="1149" t="str">
        <f>'3_rezeptkarte'!$AA$8</f>
        <v/>
      </c>
      <c r="T29" s="1149"/>
      <c r="U29" s="1149"/>
      <c r="V29" s="1143"/>
      <c r="Z29" s="274"/>
      <c r="AA29" s="1155"/>
      <c r="AB29" s="1156"/>
      <c r="AC29" s="1156"/>
      <c r="AD29" s="1156"/>
      <c r="AE29" s="1156"/>
      <c r="AF29" s="1156"/>
      <c r="AG29" s="1156"/>
      <c r="AH29" s="1156"/>
      <c r="AI29" s="1156"/>
      <c r="AJ29" s="1156"/>
      <c r="AK29" s="1156"/>
      <c r="AL29" s="1156"/>
      <c r="AM29" s="1156"/>
      <c r="AN29" s="1156"/>
      <c r="AO29" s="1156"/>
      <c r="AP29" s="384"/>
      <c r="AQ29" s="384"/>
      <c r="AR29" s="384"/>
      <c r="AS29" s="384"/>
      <c r="AT29" s="384"/>
      <c r="AU29" s="384"/>
      <c r="AV29" s="384"/>
      <c r="AW29" s="446"/>
      <c r="AX29" s="273"/>
      <c r="AZ29" s="269"/>
      <c r="BA29" s="270"/>
      <c r="BB29" s="270"/>
      <c r="BC29" s="577"/>
      <c r="BD29" s="577"/>
      <c r="BE29" s="577"/>
    </row>
    <row r="30" spans="2:58" ht="12" customHeight="1">
      <c r="B30" s="272"/>
      <c r="C30" s="446"/>
      <c r="D30" s="1151"/>
      <c r="E30" s="279"/>
      <c r="F30" s="279"/>
      <c r="G30" s="280"/>
      <c r="H30" s="280"/>
      <c r="I30" s="386"/>
      <c r="J30" s="386"/>
      <c r="K30" s="386"/>
      <c r="L30" s="280" t="s">
        <v>788</v>
      </c>
      <c r="M30" s="1150">
        <f>'1_vorbereitung'!$F$6</f>
        <v>0</v>
      </c>
      <c r="N30" s="1150"/>
      <c r="O30" s="1150"/>
      <c r="P30" s="386"/>
      <c r="Q30" s="386"/>
      <c r="R30" s="280" t="s">
        <v>834</v>
      </c>
      <c r="S30" s="1150">
        <f>$S$6</f>
        <v>43101</v>
      </c>
      <c r="T30" s="1150"/>
      <c r="U30" s="1150"/>
      <c r="V30" s="1143"/>
      <c r="Z30" s="274"/>
      <c r="AA30" s="1155"/>
      <c r="AB30" s="1156"/>
      <c r="AC30" s="1156"/>
      <c r="AD30" s="1156"/>
      <c r="AE30" s="1156"/>
      <c r="AF30" s="1156"/>
      <c r="AG30" s="1156"/>
      <c r="AH30" s="1156"/>
      <c r="AI30" s="1156"/>
      <c r="AJ30" s="1156"/>
      <c r="AK30" s="1156"/>
      <c r="AL30" s="1156"/>
      <c r="AM30" s="1156"/>
      <c r="AN30" s="1156"/>
      <c r="AO30" s="1156"/>
      <c r="AP30" s="384"/>
      <c r="AQ30" s="384"/>
      <c r="AR30" s="384"/>
      <c r="AS30" s="384"/>
      <c r="AT30" s="384"/>
      <c r="AU30" s="384"/>
      <c r="AV30" s="384"/>
      <c r="AW30" s="446"/>
      <c r="AX30" s="273"/>
      <c r="AZ30" s="272"/>
      <c r="BC30" s="274"/>
      <c r="BD30" s="274"/>
      <c r="BE30" s="274"/>
    </row>
    <row r="31" spans="2:58" ht="3.75" customHeight="1">
      <c r="B31" s="272"/>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446"/>
      <c r="AB31" s="446"/>
      <c r="AC31" s="446"/>
      <c r="AD31" s="446"/>
      <c r="AE31" s="446"/>
      <c r="AF31" s="446"/>
      <c r="AG31" s="446"/>
      <c r="AH31" s="446"/>
      <c r="AI31" s="446"/>
      <c r="AJ31" s="446"/>
      <c r="AK31" s="446"/>
      <c r="AL31" s="446"/>
      <c r="AM31" s="446"/>
      <c r="AN31" s="446"/>
      <c r="AO31" s="446"/>
      <c r="AP31" s="446"/>
      <c r="AQ31" s="446"/>
      <c r="AR31" s="446"/>
      <c r="AS31" s="446"/>
      <c r="AT31" s="446"/>
      <c r="AU31" s="446"/>
      <c r="AV31" s="446"/>
      <c r="AW31" s="446"/>
      <c r="AX31" s="273"/>
      <c r="AZ31" s="272"/>
      <c r="BC31" s="274"/>
      <c r="BD31" s="274"/>
      <c r="BE31" s="274"/>
    </row>
    <row r="32" spans="2:58" ht="3.75" customHeight="1">
      <c r="B32" s="275"/>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7"/>
      <c r="AC32" s="276"/>
      <c r="AD32" s="276"/>
      <c r="AE32" s="276"/>
      <c r="AF32" s="276"/>
      <c r="AG32" s="276"/>
      <c r="AH32" s="276"/>
      <c r="AI32" s="276"/>
      <c r="AJ32" s="276"/>
      <c r="AK32" s="276"/>
      <c r="AL32" s="276"/>
      <c r="AM32" s="276"/>
      <c r="AN32" s="276"/>
      <c r="AO32" s="276"/>
      <c r="AP32" s="276"/>
      <c r="AQ32" s="276"/>
      <c r="AR32" s="276"/>
      <c r="AS32" s="276"/>
      <c r="AT32" s="276"/>
      <c r="AU32" s="276"/>
      <c r="AV32" s="276"/>
      <c r="AW32" s="276"/>
      <c r="AX32" s="278"/>
      <c r="AZ32" s="272"/>
      <c r="BC32" s="274"/>
      <c r="BD32" s="274"/>
      <c r="BE32" s="274"/>
    </row>
    <row r="33" spans="2:57" ht="3" customHeight="1">
      <c r="AZ33" s="272"/>
      <c r="BC33" s="274"/>
      <c r="BD33" s="274"/>
      <c r="BE33" s="274"/>
    </row>
    <row r="34" spans="2:57" ht="3.75" customHeight="1">
      <c r="B34" s="269"/>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1"/>
      <c r="AZ34" s="1136" t="s">
        <v>1139</v>
      </c>
      <c r="BA34" s="1137"/>
      <c r="BB34" s="1138"/>
      <c r="BC34" s="1134" t="s">
        <v>1146</v>
      </c>
      <c r="BD34" s="1134" t="s">
        <v>1145</v>
      </c>
      <c r="BE34" s="1134" t="s">
        <v>1144</v>
      </c>
    </row>
    <row r="35" spans="2:57" ht="3.75" customHeight="1">
      <c r="B35" s="272"/>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6"/>
      <c r="AR35" s="446"/>
      <c r="AS35" s="446"/>
      <c r="AT35" s="446"/>
      <c r="AU35" s="446"/>
      <c r="AV35" s="446"/>
      <c r="AW35" s="446"/>
      <c r="AX35" s="273"/>
      <c r="AZ35" s="1136"/>
      <c r="BA35" s="1137"/>
      <c r="BB35" s="1138"/>
      <c r="BC35" s="1134"/>
      <c r="BD35" s="1134"/>
      <c r="BE35" s="1134"/>
    </row>
    <row r="36" spans="2:57" ht="24" customHeight="1">
      <c r="B36" s="272"/>
      <c r="C36" s="446"/>
      <c r="D36" s="1151" t="s">
        <v>698</v>
      </c>
      <c r="E36" s="385"/>
      <c r="F36" s="385"/>
      <c r="G36" s="385"/>
      <c r="H36" s="1142">
        <f>'3_rezeptkarte'!$C$6</f>
        <v>0</v>
      </c>
      <c r="I36" s="1142"/>
      <c r="J36" s="1142"/>
      <c r="K36" s="1142"/>
      <c r="L36" s="1142"/>
      <c r="M36" s="1142"/>
      <c r="N36" s="1142"/>
      <c r="O36" s="1142"/>
      <c r="P36" s="1142"/>
      <c r="Q36" s="1142"/>
      <c r="R36" s="1142"/>
      <c r="S36" s="1142"/>
      <c r="T36" s="1142"/>
      <c r="U36" s="1142"/>
      <c r="V36" s="1143"/>
      <c r="W36" s="281"/>
      <c r="X36" s="281"/>
      <c r="Y36" s="282"/>
      <c r="Z36" s="274"/>
      <c r="AA36" s="1155" t="str">
        <f>CONCATENATE('7_verkostungsbogen'!$AV$13,'7_verkostungsbogen'!$G$15)</f>
        <v xml:space="preserve">Zutaten: Brauwasser, Hopfen (), bitte wählen Hefe </v>
      </c>
      <c r="AB36" s="1156"/>
      <c r="AC36" s="1156"/>
      <c r="AD36" s="1156"/>
      <c r="AE36" s="1156"/>
      <c r="AF36" s="1156"/>
      <c r="AG36" s="1156"/>
      <c r="AH36" s="1156"/>
      <c r="AI36" s="1156"/>
      <c r="AJ36" s="1156"/>
      <c r="AK36" s="1156"/>
      <c r="AL36" s="1156"/>
      <c r="AM36" s="1156"/>
      <c r="AN36" s="1156"/>
      <c r="AO36" s="1156"/>
      <c r="AP36" s="384"/>
      <c r="AQ36" s="384"/>
      <c r="AR36" s="384"/>
      <c r="AS36" s="384"/>
      <c r="AT36" s="384"/>
      <c r="AU36" s="384"/>
      <c r="AV36" s="384"/>
      <c r="AW36" s="446"/>
      <c r="AX36" s="273"/>
      <c r="AZ36" s="1139"/>
      <c r="BA36" s="1140"/>
      <c r="BB36" s="1141"/>
      <c r="BC36" s="1135"/>
      <c r="BD36" s="1135"/>
      <c r="BE36" s="1135"/>
    </row>
    <row r="37" spans="2:57" ht="12" customHeight="1">
      <c r="B37" s="272"/>
      <c r="C37" s="446"/>
      <c r="D37" s="1151"/>
      <c r="E37" s="283"/>
      <c r="F37" s="283"/>
      <c r="G37" s="283"/>
      <c r="H37" s="1144" t="str">
        <f>'4a_sud-journal'!$V$79</f>
        <v/>
      </c>
      <c r="I37" s="1144"/>
      <c r="J37" s="1145"/>
      <c r="K37" s="1146" t="str">
        <f>'5_gaerdiagramm'!$F$38</f>
        <v/>
      </c>
      <c r="L37" s="1147"/>
      <c r="M37" s="1147"/>
      <c r="N37" s="1147"/>
      <c r="O37" s="1148"/>
      <c r="P37" s="1152" t="str">
        <f>'3_rezeptkarte'!$T$8</f>
        <v/>
      </c>
      <c r="Q37" s="1153"/>
      <c r="R37" s="1154"/>
      <c r="S37" s="1149" t="str">
        <f>'3_rezeptkarte'!$AA$8</f>
        <v/>
      </c>
      <c r="T37" s="1149"/>
      <c r="U37" s="1149"/>
      <c r="V37" s="1143"/>
      <c r="Z37" s="274"/>
      <c r="AA37" s="1155"/>
      <c r="AB37" s="1156"/>
      <c r="AC37" s="1156"/>
      <c r="AD37" s="1156"/>
      <c r="AE37" s="1156"/>
      <c r="AF37" s="1156"/>
      <c r="AG37" s="1156"/>
      <c r="AH37" s="1156"/>
      <c r="AI37" s="1156"/>
      <c r="AJ37" s="1156"/>
      <c r="AK37" s="1156"/>
      <c r="AL37" s="1156"/>
      <c r="AM37" s="1156"/>
      <c r="AN37" s="1156"/>
      <c r="AO37" s="1156"/>
      <c r="AP37" s="384"/>
      <c r="AQ37" s="384"/>
      <c r="AR37" s="384"/>
      <c r="AS37" s="384"/>
      <c r="AT37" s="384"/>
      <c r="AU37" s="384"/>
      <c r="AV37" s="384"/>
      <c r="AW37" s="446"/>
      <c r="AX37" s="273"/>
      <c r="AZ37" s="269"/>
      <c r="BA37" s="270"/>
      <c r="BB37" s="270"/>
      <c r="BC37" s="577"/>
      <c r="BD37" s="577"/>
      <c r="BE37" s="269"/>
    </row>
    <row r="38" spans="2:57" ht="12" customHeight="1">
      <c r="B38" s="272"/>
      <c r="C38" s="446"/>
      <c r="D38" s="1151"/>
      <c r="E38" s="279"/>
      <c r="F38" s="279"/>
      <c r="G38" s="280"/>
      <c r="H38" s="280"/>
      <c r="I38" s="386"/>
      <c r="J38" s="386"/>
      <c r="K38" s="386"/>
      <c r="L38" s="280" t="s">
        <v>788</v>
      </c>
      <c r="M38" s="1150">
        <f>'1_vorbereitung'!$F$6</f>
        <v>0</v>
      </c>
      <c r="N38" s="1150"/>
      <c r="O38" s="1150"/>
      <c r="P38" s="386"/>
      <c r="Q38" s="386"/>
      <c r="R38" s="280" t="s">
        <v>834</v>
      </c>
      <c r="S38" s="1150">
        <f>$S$6</f>
        <v>43101</v>
      </c>
      <c r="T38" s="1150"/>
      <c r="U38" s="1150"/>
      <c r="V38" s="1143"/>
      <c r="Z38" s="274"/>
      <c r="AA38" s="1155"/>
      <c r="AB38" s="1156"/>
      <c r="AC38" s="1156"/>
      <c r="AD38" s="1156"/>
      <c r="AE38" s="1156"/>
      <c r="AF38" s="1156"/>
      <c r="AG38" s="1156"/>
      <c r="AH38" s="1156"/>
      <c r="AI38" s="1156"/>
      <c r="AJ38" s="1156"/>
      <c r="AK38" s="1156"/>
      <c r="AL38" s="1156"/>
      <c r="AM38" s="1156"/>
      <c r="AN38" s="1156"/>
      <c r="AO38" s="1156"/>
      <c r="AP38" s="384"/>
      <c r="AQ38" s="384"/>
      <c r="AR38" s="384"/>
      <c r="AS38" s="384"/>
      <c r="AT38" s="384"/>
      <c r="AU38" s="384"/>
      <c r="AV38" s="384"/>
      <c r="AW38" s="446"/>
      <c r="AX38" s="273"/>
      <c r="AZ38" s="272"/>
      <c r="BC38" s="274"/>
      <c r="BD38" s="274"/>
      <c r="BE38" s="272"/>
    </row>
    <row r="39" spans="2:57" ht="3.75" customHeight="1">
      <c r="B39" s="272"/>
      <c r="C39" s="446"/>
      <c r="D39" s="446"/>
      <c r="E39" s="446"/>
      <c r="F39" s="446"/>
      <c r="G39" s="446"/>
      <c r="H39" s="446"/>
      <c r="I39" s="446"/>
      <c r="J39" s="446"/>
      <c r="K39" s="446"/>
      <c r="L39" s="446"/>
      <c r="M39" s="446"/>
      <c r="N39" s="446"/>
      <c r="O39" s="446"/>
      <c r="P39" s="446"/>
      <c r="Q39" s="446"/>
      <c r="R39" s="446"/>
      <c r="S39" s="446"/>
      <c r="T39" s="446"/>
      <c r="U39" s="446"/>
      <c r="V39" s="446"/>
      <c r="W39" s="446"/>
      <c r="X39" s="446"/>
      <c r="Y39" s="446"/>
      <c r="Z39" s="446"/>
      <c r="AA39" s="446"/>
      <c r="AB39" s="446"/>
      <c r="AC39" s="446"/>
      <c r="AD39" s="446"/>
      <c r="AE39" s="446"/>
      <c r="AF39" s="446"/>
      <c r="AG39" s="446"/>
      <c r="AH39" s="446"/>
      <c r="AI39" s="446"/>
      <c r="AJ39" s="446"/>
      <c r="AK39" s="446"/>
      <c r="AL39" s="446"/>
      <c r="AM39" s="446"/>
      <c r="AN39" s="446"/>
      <c r="AO39" s="446"/>
      <c r="AP39" s="446"/>
      <c r="AQ39" s="446"/>
      <c r="AR39" s="446"/>
      <c r="AS39" s="446"/>
      <c r="AT39" s="446"/>
      <c r="AU39" s="446"/>
      <c r="AV39" s="446"/>
      <c r="AW39" s="446"/>
      <c r="AX39" s="273"/>
      <c r="AZ39" s="272"/>
      <c r="BC39" s="274"/>
      <c r="BD39" s="274"/>
      <c r="BE39" s="272"/>
    </row>
    <row r="40" spans="2:57" ht="3.75" customHeight="1">
      <c r="B40" s="275"/>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7"/>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8"/>
      <c r="AZ40" s="272"/>
      <c r="BC40" s="274"/>
      <c r="BD40" s="274"/>
      <c r="BE40" s="272"/>
    </row>
    <row r="41" spans="2:57" ht="3" customHeight="1">
      <c r="AZ41" s="272"/>
      <c r="BC41" s="274"/>
      <c r="BD41" s="274"/>
      <c r="BE41" s="272"/>
    </row>
    <row r="42" spans="2:57" ht="3.75" customHeight="1">
      <c r="B42" s="269"/>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1"/>
      <c r="AZ42" s="1136" t="s">
        <v>1140</v>
      </c>
      <c r="BA42" s="1137"/>
      <c r="BB42" s="1138"/>
      <c r="BC42" s="1134" t="s">
        <v>1147</v>
      </c>
      <c r="BD42" s="1134" t="s">
        <v>1147</v>
      </c>
      <c r="BE42" s="272"/>
    </row>
    <row r="43" spans="2:57" ht="3.75" customHeight="1">
      <c r="B43" s="272"/>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c r="AN43" s="446"/>
      <c r="AO43" s="446"/>
      <c r="AP43" s="446"/>
      <c r="AQ43" s="446"/>
      <c r="AR43" s="446"/>
      <c r="AS43" s="446"/>
      <c r="AT43" s="446"/>
      <c r="AU43" s="446"/>
      <c r="AV43" s="446"/>
      <c r="AW43" s="446"/>
      <c r="AX43" s="273"/>
      <c r="AZ43" s="1136"/>
      <c r="BA43" s="1137"/>
      <c r="BB43" s="1138"/>
      <c r="BC43" s="1134"/>
      <c r="BD43" s="1134"/>
      <c r="BE43" s="272"/>
    </row>
    <row r="44" spans="2:57" ht="24" customHeight="1">
      <c r="B44" s="272"/>
      <c r="C44" s="446"/>
      <c r="D44" s="1151" t="s">
        <v>698</v>
      </c>
      <c r="E44" s="385"/>
      <c r="F44" s="385"/>
      <c r="G44" s="385"/>
      <c r="H44" s="1142">
        <f>'3_rezeptkarte'!$C$6</f>
        <v>0</v>
      </c>
      <c r="I44" s="1142"/>
      <c r="J44" s="1142"/>
      <c r="K44" s="1142"/>
      <c r="L44" s="1142"/>
      <c r="M44" s="1142"/>
      <c r="N44" s="1142"/>
      <c r="O44" s="1142"/>
      <c r="P44" s="1142"/>
      <c r="Q44" s="1142"/>
      <c r="R44" s="1142"/>
      <c r="S44" s="1142"/>
      <c r="T44" s="1142"/>
      <c r="U44" s="1142"/>
      <c r="V44" s="1143"/>
      <c r="W44" s="281"/>
      <c r="X44" s="281"/>
      <c r="Y44" s="282"/>
      <c r="Z44" s="274"/>
      <c r="AA44" s="1155" t="str">
        <f>CONCATENATE('7_verkostungsbogen'!$AV$13,'7_verkostungsbogen'!$G$15)</f>
        <v xml:space="preserve">Zutaten: Brauwasser, Hopfen (), bitte wählen Hefe </v>
      </c>
      <c r="AB44" s="1156"/>
      <c r="AC44" s="1156"/>
      <c r="AD44" s="1156"/>
      <c r="AE44" s="1156"/>
      <c r="AF44" s="1156"/>
      <c r="AG44" s="1156"/>
      <c r="AH44" s="1156"/>
      <c r="AI44" s="1156"/>
      <c r="AJ44" s="1156"/>
      <c r="AK44" s="1156"/>
      <c r="AL44" s="1156"/>
      <c r="AM44" s="1156"/>
      <c r="AN44" s="1156"/>
      <c r="AO44" s="1156"/>
      <c r="AP44" s="384"/>
      <c r="AQ44" s="384"/>
      <c r="AR44" s="384"/>
      <c r="AS44" s="384"/>
      <c r="AT44" s="384"/>
      <c r="AU44" s="384"/>
      <c r="AV44" s="384"/>
      <c r="AW44" s="446"/>
      <c r="AX44" s="273"/>
      <c r="AZ44" s="1139"/>
      <c r="BA44" s="1140"/>
      <c r="BB44" s="1141"/>
      <c r="BC44" s="1135"/>
      <c r="BD44" s="1135"/>
      <c r="BE44" s="578"/>
    </row>
    <row r="45" spans="2:57" ht="12" customHeight="1">
      <c r="B45" s="272"/>
      <c r="C45" s="446"/>
      <c r="D45" s="1151"/>
      <c r="E45" s="283"/>
      <c r="F45" s="283"/>
      <c r="G45" s="283"/>
      <c r="H45" s="1144" t="str">
        <f>'4a_sud-journal'!$V$79</f>
        <v/>
      </c>
      <c r="I45" s="1144"/>
      <c r="J45" s="1145"/>
      <c r="K45" s="1146" t="str">
        <f>'5_gaerdiagramm'!$F$38</f>
        <v/>
      </c>
      <c r="L45" s="1147"/>
      <c r="M45" s="1147"/>
      <c r="N45" s="1147"/>
      <c r="O45" s="1148"/>
      <c r="P45" s="1152" t="str">
        <f>'3_rezeptkarte'!$T$8</f>
        <v/>
      </c>
      <c r="Q45" s="1153"/>
      <c r="R45" s="1154"/>
      <c r="S45" s="1149" t="str">
        <f>'3_rezeptkarte'!$AA$8</f>
        <v/>
      </c>
      <c r="T45" s="1149"/>
      <c r="U45" s="1149"/>
      <c r="V45" s="1143"/>
      <c r="Z45" s="274"/>
      <c r="AA45" s="1155"/>
      <c r="AB45" s="1156"/>
      <c r="AC45" s="1156"/>
      <c r="AD45" s="1156"/>
      <c r="AE45" s="1156"/>
      <c r="AF45" s="1156"/>
      <c r="AG45" s="1156"/>
      <c r="AH45" s="1156"/>
      <c r="AI45" s="1156"/>
      <c r="AJ45" s="1156"/>
      <c r="AK45" s="1156"/>
      <c r="AL45" s="1156"/>
      <c r="AM45" s="1156"/>
      <c r="AN45" s="1156"/>
      <c r="AO45" s="1156"/>
      <c r="AP45" s="384"/>
      <c r="AQ45" s="384"/>
      <c r="AR45" s="384"/>
      <c r="AS45" s="384"/>
      <c r="AT45" s="384"/>
      <c r="AU45" s="384"/>
      <c r="AV45" s="384"/>
      <c r="AW45" s="446"/>
      <c r="AX45" s="273"/>
      <c r="AZ45" s="579" t="s">
        <v>1142</v>
      </c>
    </row>
    <row r="46" spans="2:57" ht="12" customHeight="1">
      <c r="B46" s="272"/>
      <c r="C46" s="446"/>
      <c r="D46" s="1151"/>
      <c r="E46" s="279"/>
      <c r="F46" s="279"/>
      <c r="G46" s="280"/>
      <c r="H46" s="280"/>
      <c r="I46" s="386"/>
      <c r="J46" s="386"/>
      <c r="K46" s="386"/>
      <c r="L46" s="280" t="s">
        <v>788</v>
      </c>
      <c r="M46" s="1150">
        <f>'1_vorbereitung'!$F$6</f>
        <v>0</v>
      </c>
      <c r="N46" s="1150"/>
      <c r="O46" s="1150"/>
      <c r="P46" s="386"/>
      <c r="Q46" s="386"/>
      <c r="R46" s="280" t="s">
        <v>834</v>
      </c>
      <c r="S46" s="1150">
        <f>$S$6</f>
        <v>43101</v>
      </c>
      <c r="T46" s="1150"/>
      <c r="U46" s="1150"/>
      <c r="V46" s="1143"/>
      <c r="Z46" s="274"/>
      <c r="AA46" s="1155"/>
      <c r="AB46" s="1156"/>
      <c r="AC46" s="1156"/>
      <c r="AD46" s="1156"/>
      <c r="AE46" s="1156"/>
      <c r="AF46" s="1156"/>
      <c r="AG46" s="1156"/>
      <c r="AH46" s="1156"/>
      <c r="AI46" s="1156"/>
      <c r="AJ46" s="1156"/>
      <c r="AK46" s="1156"/>
      <c r="AL46" s="1156"/>
      <c r="AM46" s="1156"/>
      <c r="AN46" s="1156"/>
      <c r="AO46" s="1156"/>
      <c r="AP46" s="384"/>
      <c r="AQ46" s="384"/>
      <c r="AR46" s="384"/>
      <c r="AS46" s="384"/>
      <c r="AT46" s="384"/>
      <c r="AU46" s="384"/>
      <c r="AV46" s="384"/>
      <c r="AW46" s="446"/>
      <c r="AX46" s="273"/>
      <c r="AZ46" s="580" t="s">
        <v>1143</v>
      </c>
    </row>
    <row r="47" spans="2:57" ht="3.75" customHeight="1">
      <c r="B47" s="272"/>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446"/>
      <c r="AB47" s="446"/>
      <c r="AC47" s="446"/>
      <c r="AD47" s="446"/>
      <c r="AE47" s="446"/>
      <c r="AF47" s="446"/>
      <c r="AG47" s="446"/>
      <c r="AH47" s="446"/>
      <c r="AI47" s="446"/>
      <c r="AJ47" s="446"/>
      <c r="AK47" s="446"/>
      <c r="AL47" s="446"/>
      <c r="AM47" s="446"/>
      <c r="AN47" s="446"/>
      <c r="AO47" s="446"/>
      <c r="AP47" s="446"/>
      <c r="AQ47" s="446"/>
      <c r="AR47" s="446"/>
      <c r="AS47" s="446"/>
      <c r="AT47" s="446"/>
      <c r="AU47" s="446"/>
      <c r="AV47" s="446"/>
      <c r="AW47" s="446"/>
      <c r="AX47" s="273"/>
    </row>
    <row r="48" spans="2:57" ht="3.75" customHeight="1">
      <c r="B48" s="275"/>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7"/>
      <c r="AC48" s="276"/>
      <c r="AD48" s="276"/>
      <c r="AE48" s="276"/>
      <c r="AF48" s="276"/>
      <c r="AG48" s="276"/>
      <c r="AH48" s="276"/>
      <c r="AI48" s="276"/>
      <c r="AJ48" s="276"/>
      <c r="AK48" s="276"/>
      <c r="AL48" s="276"/>
      <c r="AM48" s="276"/>
      <c r="AN48" s="276"/>
      <c r="AO48" s="276"/>
      <c r="AP48" s="276"/>
      <c r="AQ48" s="276"/>
      <c r="AR48" s="276"/>
      <c r="AS48" s="276"/>
      <c r="AT48" s="276"/>
      <c r="AU48" s="276"/>
      <c r="AV48" s="276"/>
      <c r="AW48" s="276"/>
      <c r="AX48" s="278"/>
    </row>
    <row r="49" spans="2:50" ht="3" customHeight="1"/>
    <row r="50" spans="2:50" ht="3.75" customHeight="1">
      <c r="B50" s="269"/>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1"/>
    </row>
    <row r="51" spans="2:50" ht="3.75" customHeight="1">
      <c r="B51" s="272"/>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446"/>
      <c r="AB51" s="446"/>
      <c r="AC51" s="446"/>
      <c r="AD51" s="446"/>
      <c r="AE51" s="446"/>
      <c r="AF51" s="446"/>
      <c r="AG51" s="446"/>
      <c r="AH51" s="446"/>
      <c r="AI51" s="446"/>
      <c r="AJ51" s="446"/>
      <c r="AK51" s="446"/>
      <c r="AL51" s="446"/>
      <c r="AM51" s="446"/>
      <c r="AN51" s="446"/>
      <c r="AO51" s="446"/>
      <c r="AP51" s="446"/>
      <c r="AQ51" s="446"/>
      <c r="AR51" s="446"/>
      <c r="AS51" s="446"/>
      <c r="AT51" s="446"/>
      <c r="AU51" s="446"/>
      <c r="AV51" s="446"/>
      <c r="AW51" s="446"/>
      <c r="AX51" s="273"/>
    </row>
    <row r="52" spans="2:50" ht="24" customHeight="1">
      <c r="B52" s="272"/>
      <c r="C52" s="446"/>
      <c r="D52" s="1151" t="s">
        <v>698</v>
      </c>
      <c r="E52" s="385"/>
      <c r="F52" s="385"/>
      <c r="G52" s="385"/>
      <c r="H52" s="1142">
        <f>'3_rezeptkarte'!$C$6</f>
        <v>0</v>
      </c>
      <c r="I52" s="1142"/>
      <c r="J52" s="1142"/>
      <c r="K52" s="1142"/>
      <c r="L52" s="1142"/>
      <c r="M52" s="1142"/>
      <c r="N52" s="1142"/>
      <c r="O52" s="1142"/>
      <c r="P52" s="1142"/>
      <c r="Q52" s="1142"/>
      <c r="R52" s="1142"/>
      <c r="S52" s="1142"/>
      <c r="T52" s="1142"/>
      <c r="U52" s="1142"/>
      <c r="V52" s="1143"/>
      <c r="W52" s="281"/>
      <c r="X52" s="281"/>
      <c r="Y52" s="282"/>
      <c r="Z52" s="274"/>
      <c r="AA52" s="1155" t="str">
        <f>CONCATENATE('7_verkostungsbogen'!$AV$13,'7_verkostungsbogen'!$G$15)</f>
        <v xml:space="preserve">Zutaten: Brauwasser, Hopfen (), bitte wählen Hefe </v>
      </c>
      <c r="AB52" s="1156"/>
      <c r="AC52" s="1156"/>
      <c r="AD52" s="1156"/>
      <c r="AE52" s="1156"/>
      <c r="AF52" s="1156"/>
      <c r="AG52" s="1156"/>
      <c r="AH52" s="1156"/>
      <c r="AI52" s="1156"/>
      <c r="AJ52" s="1156"/>
      <c r="AK52" s="1156"/>
      <c r="AL52" s="1156"/>
      <c r="AM52" s="1156"/>
      <c r="AN52" s="1156"/>
      <c r="AO52" s="1156"/>
      <c r="AP52" s="384"/>
      <c r="AQ52" s="384"/>
      <c r="AR52" s="384"/>
      <c r="AS52" s="384"/>
      <c r="AT52" s="384"/>
      <c r="AU52" s="384"/>
      <c r="AV52" s="384"/>
      <c r="AW52" s="446"/>
      <c r="AX52" s="273"/>
    </row>
    <row r="53" spans="2:50" ht="12" customHeight="1">
      <c r="B53" s="272"/>
      <c r="C53" s="446"/>
      <c r="D53" s="1151"/>
      <c r="E53" s="283"/>
      <c r="F53" s="283"/>
      <c r="G53" s="283"/>
      <c r="H53" s="1144" t="str">
        <f>'4a_sud-journal'!$V$79</f>
        <v/>
      </c>
      <c r="I53" s="1144"/>
      <c r="J53" s="1145"/>
      <c r="K53" s="1146" t="str">
        <f>'5_gaerdiagramm'!$F$38</f>
        <v/>
      </c>
      <c r="L53" s="1147"/>
      <c r="M53" s="1147"/>
      <c r="N53" s="1147"/>
      <c r="O53" s="1148"/>
      <c r="P53" s="1152" t="str">
        <f>'3_rezeptkarte'!$T$8</f>
        <v/>
      </c>
      <c r="Q53" s="1153"/>
      <c r="R53" s="1154"/>
      <c r="S53" s="1149" t="str">
        <f>'3_rezeptkarte'!$AA$8</f>
        <v/>
      </c>
      <c r="T53" s="1149"/>
      <c r="U53" s="1149"/>
      <c r="V53" s="1143"/>
      <c r="Z53" s="274"/>
      <c r="AA53" s="1155"/>
      <c r="AB53" s="1156"/>
      <c r="AC53" s="1156"/>
      <c r="AD53" s="1156"/>
      <c r="AE53" s="1156"/>
      <c r="AF53" s="1156"/>
      <c r="AG53" s="1156"/>
      <c r="AH53" s="1156"/>
      <c r="AI53" s="1156"/>
      <c r="AJ53" s="1156"/>
      <c r="AK53" s="1156"/>
      <c r="AL53" s="1156"/>
      <c r="AM53" s="1156"/>
      <c r="AN53" s="1156"/>
      <c r="AO53" s="1156"/>
      <c r="AP53" s="384"/>
      <c r="AQ53" s="384"/>
      <c r="AR53" s="384"/>
      <c r="AS53" s="384"/>
      <c r="AT53" s="384"/>
      <c r="AU53" s="384"/>
      <c r="AV53" s="384"/>
      <c r="AW53" s="446"/>
      <c r="AX53" s="273"/>
    </row>
    <row r="54" spans="2:50" ht="12" customHeight="1">
      <c r="B54" s="272"/>
      <c r="C54" s="446"/>
      <c r="D54" s="1151"/>
      <c r="E54" s="279"/>
      <c r="F54" s="279"/>
      <c r="G54" s="280"/>
      <c r="H54" s="280"/>
      <c r="I54" s="386"/>
      <c r="J54" s="386"/>
      <c r="K54" s="386"/>
      <c r="L54" s="280" t="s">
        <v>788</v>
      </c>
      <c r="M54" s="1150">
        <f>'1_vorbereitung'!$F$6</f>
        <v>0</v>
      </c>
      <c r="N54" s="1150"/>
      <c r="O54" s="1150"/>
      <c r="P54" s="386"/>
      <c r="Q54" s="386"/>
      <c r="R54" s="280" t="s">
        <v>834</v>
      </c>
      <c r="S54" s="1150">
        <f>$S$6</f>
        <v>43101</v>
      </c>
      <c r="T54" s="1150"/>
      <c r="U54" s="1150"/>
      <c r="V54" s="1143"/>
      <c r="Z54" s="274"/>
      <c r="AA54" s="1155"/>
      <c r="AB54" s="1156"/>
      <c r="AC54" s="1156"/>
      <c r="AD54" s="1156"/>
      <c r="AE54" s="1156"/>
      <c r="AF54" s="1156"/>
      <c r="AG54" s="1156"/>
      <c r="AH54" s="1156"/>
      <c r="AI54" s="1156"/>
      <c r="AJ54" s="1156"/>
      <c r="AK54" s="1156"/>
      <c r="AL54" s="1156"/>
      <c r="AM54" s="1156"/>
      <c r="AN54" s="1156"/>
      <c r="AO54" s="1156"/>
      <c r="AP54" s="384"/>
      <c r="AQ54" s="384"/>
      <c r="AR54" s="384"/>
      <c r="AS54" s="384"/>
      <c r="AT54" s="384"/>
      <c r="AU54" s="384"/>
      <c r="AV54" s="384"/>
      <c r="AW54" s="446"/>
      <c r="AX54" s="273"/>
    </row>
    <row r="55" spans="2:50" ht="3.75" customHeight="1">
      <c r="B55" s="272"/>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446"/>
      <c r="AB55" s="446"/>
      <c r="AC55" s="446"/>
      <c r="AD55" s="446"/>
      <c r="AE55" s="446"/>
      <c r="AF55" s="446"/>
      <c r="AG55" s="446"/>
      <c r="AH55" s="446"/>
      <c r="AI55" s="446"/>
      <c r="AJ55" s="446"/>
      <c r="AK55" s="446"/>
      <c r="AL55" s="446"/>
      <c r="AM55" s="446"/>
      <c r="AN55" s="446"/>
      <c r="AO55" s="446"/>
      <c r="AP55" s="446"/>
      <c r="AQ55" s="446"/>
      <c r="AR55" s="446"/>
      <c r="AS55" s="446"/>
      <c r="AT55" s="446"/>
      <c r="AU55" s="446"/>
      <c r="AV55" s="446"/>
      <c r="AW55" s="446"/>
      <c r="AX55" s="273"/>
    </row>
    <row r="56" spans="2:50" ht="3.75" customHeight="1">
      <c r="B56" s="275"/>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7"/>
      <c r="AC56" s="276"/>
      <c r="AD56" s="276"/>
      <c r="AE56" s="276"/>
      <c r="AF56" s="276"/>
      <c r="AG56" s="276"/>
      <c r="AH56" s="276"/>
      <c r="AI56" s="276"/>
      <c r="AJ56" s="276"/>
      <c r="AK56" s="276"/>
      <c r="AL56" s="276"/>
      <c r="AM56" s="276"/>
      <c r="AN56" s="276"/>
      <c r="AO56" s="276"/>
      <c r="AP56" s="276"/>
      <c r="AQ56" s="276"/>
      <c r="AR56" s="276"/>
      <c r="AS56" s="276"/>
      <c r="AT56" s="276"/>
      <c r="AU56" s="276"/>
      <c r="AV56" s="276"/>
      <c r="AW56" s="276"/>
      <c r="AX56" s="278"/>
    </row>
    <row r="57" spans="2:50" ht="3" customHeight="1"/>
    <row r="58" spans="2:50" ht="3.75" customHeight="1">
      <c r="B58" s="269"/>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c r="AH58" s="270"/>
      <c r="AI58" s="270"/>
      <c r="AJ58" s="270"/>
      <c r="AK58" s="270"/>
      <c r="AL58" s="270"/>
      <c r="AM58" s="270"/>
      <c r="AN58" s="270"/>
      <c r="AO58" s="270"/>
      <c r="AP58" s="270"/>
      <c r="AQ58" s="270"/>
      <c r="AR58" s="270"/>
      <c r="AS58" s="270"/>
      <c r="AT58" s="270"/>
      <c r="AU58" s="270"/>
      <c r="AV58" s="270"/>
      <c r="AW58" s="270"/>
      <c r="AX58" s="271"/>
    </row>
    <row r="59" spans="2:50" ht="3.75" customHeight="1">
      <c r="B59" s="272"/>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446"/>
      <c r="AB59" s="446"/>
      <c r="AC59" s="446"/>
      <c r="AD59" s="446"/>
      <c r="AE59" s="446"/>
      <c r="AF59" s="446"/>
      <c r="AG59" s="446"/>
      <c r="AH59" s="446"/>
      <c r="AI59" s="446"/>
      <c r="AJ59" s="446"/>
      <c r="AK59" s="446"/>
      <c r="AL59" s="446"/>
      <c r="AM59" s="446"/>
      <c r="AN59" s="446"/>
      <c r="AO59" s="446"/>
      <c r="AP59" s="446"/>
      <c r="AQ59" s="446"/>
      <c r="AR59" s="446"/>
      <c r="AS59" s="446"/>
      <c r="AT59" s="446"/>
      <c r="AU59" s="446"/>
      <c r="AV59" s="446"/>
      <c r="AW59" s="446"/>
      <c r="AX59" s="273"/>
    </row>
    <row r="60" spans="2:50" ht="24" customHeight="1">
      <c r="B60" s="272"/>
      <c r="C60" s="446"/>
      <c r="D60" s="1151" t="s">
        <v>698</v>
      </c>
      <c r="E60" s="385"/>
      <c r="F60" s="385"/>
      <c r="G60" s="385"/>
      <c r="H60" s="1142">
        <f>'3_rezeptkarte'!$C$6</f>
        <v>0</v>
      </c>
      <c r="I60" s="1142"/>
      <c r="J60" s="1142"/>
      <c r="K60" s="1142"/>
      <c r="L60" s="1142"/>
      <c r="M60" s="1142"/>
      <c r="N60" s="1142"/>
      <c r="O60" s="1142"/>
      <c r="P60" s="1142"/>
      <c r="Q60" s="1142"/>
      <c r="R60" s="1142"/>
      <c r="S60" s="1142"/>
      <c r="T60" s="1142"/>
      <c r="U60" s="1142"/>
      <c r="V60" s="1143"/>
      <c r="W60" s="281"/>
      <c r="X60" s="281"/>
      <c r="Y60" s="282"/>
      <c r="Z60" s="274"/>
      <c r="AA60" s="1155" t="str">
        <f>CONCATENATE('7_verkostungsbogen'!$AV$13,'7_verkostungsbogen'!$G$15)</f>
        <v xml:space="preserve">Zutaten: Brauwasser, Hopfen (), bitte wählen Hefe </v>
      </c>
      <c r="AB60" s="1156"/>
      <c r="AC60" s="1156"/>
      <c r="AD60" s="1156"/>
      <c r="AE60" s="1156"/>
      <c r="AF60" s="1156"/>
      <c r="AG60" s="1156"/>
      <c r="AH60" s="1156"/>
      <c r="AI60" s="1156"/>
      <c r="AJ60" s="1156"/>
      <c r="AK60" s="1156"/>
      <c r="AL60" s="1156"/>
      <c r="AM60" s="1156"/>
      <c r="AN60" s="1156"/>
      <c r="AO60" s="1156"/>
      <c r="AP60" s="384"/>
      <c r="AQ60" s="384"/>
      <c r="AR60" s="384"/>
      <c r="AS60" s="384"/>
      <c r="AT60" s="384"/>
      <c r="AU60" s="384"/>
      <c r="AV60" s="384"/>
      <c r="AW60" s="446"/>
      <c r="AX60" s="273"/>
    </row>
    <row r="61" spans="2:50" ht="12" customHeight="1">
      <c r="B61" s="272"/>
      <c r="C61" s="446"/>
      <c r="D61" s="1151"/>
      <c r="E61" s="283"/>
      <c r="F61" s="283"/>
      <c r="G61" s="283"/>
      <c r="H61" s="1144" t="str">
        <f>'4a_sud-journal'!$V$79</f>
        <v/>
      </c>
      <c r="I61" s="1144"/>
      <c r="J61" s="1145"/>
      <c r="K61" s="1146" t="str">
        <f>'5_gaerdiagramm'!$F$38</f>
        <v/>
      </c>
      <c r="L61" s="1147"/>
      <c r="M61" s="1147"/>
      <c r="N61" s="1147"/>
      <c r="O61" s="1148"/>
      <c r="P61" s="1152" t="str">
        <f>'3_rezeptkarte'!$T$8</f>
        <v/>
      </c>
      <c r="Q61" s="1153"/>
      <c r="R61" s="1154"/>
      <c r="S61" s="1149" t="str">
        <f>'3_rezeptkarte'!$AA$8</f>
        <v/>
      </c>
      <c r="T61" s="1149"/>
      <c r="U61" s="1149"/>
      <c r="V61" s="1143"/>
      <c r="Z61" s="274"/>
      <c r="AA61" s="1155"/>
      <c r="AB61" s="1156"/>
      <c r="AC61" s="1156"/>
      <c r="AD61" s="1156"/>
      <c r="AE61" s="1156"/>
      <c r="AF61" s="1156"/>
      <c r="AG61" s="1156"/>
      <c r="AH61" s="1156"/>
      <c r="AI61" s="1156"/>
      <c r="AJ61" s="1156"/>
      <c r="AK61" s="1156"/>
      <c r="AL61" s="1156"/>
      <c r="AM61" s="1156"/>
      <c r="AN61" s="1156"/>
      <c r="AO61" s="1156"/>
      <c r="AP61" s="384"/>
      <c r="AQ61" s="384"/>
      <c r="AR61" s="384"/>
      <c r="AS61" s="384"/>
      <c r="AT61" s="384"/>
      <c r="AU61" s="384"/>
      <c r="AV61" s="384"/>
      <c r="AW61" s="446"/>
      <c r="AX61" s="273"/>
    </row>
    <row r="62" spans="2:50" ht="12" customHeight="1">
      <c r="B62" s="272"/>
      <c r="C62" s="446"/>
      <c r="D62" s="1151"/>
      <c r="E62" s="279"/>
      <c r="F62" s="279"/>
      <c r="G62" s="280"/>
      <c r="H62" s="280"/>
      <c r="I62" s="386"/>
      <c r="J62" s="386"/>
      <c r="K62" s="386"/>
      <c r="L62" s="280" t="s">
        <v>788</v>
      </c>
      <c r="M62" s="1150">
        <f>'1_vorbereitung'!$F$6</f>
        <v>0</v>
      </c>
      <c r="N62" s="1150"/>
      <c r="O62" s="1150"/>
      <c r="P62" s="386"/>
      <c r="Q62" s="386"/>
      <c r="R62" s="280" t="s">
        <v>834</v>
      </c>
      <c r="S62" s="1150">
        <f>$S$6</f>
        <v>43101</v>
      </c>
      <c r="T62" s="1150"/>
      <c r="U62" s="1150"/>
      <c r="V62" s="1143"/>
      <c r="Z62" s="274"/>
      <c r="AA62" s="1155"/>
      <c r="AB62" s="1156"/>
      <c r="AC62" s="1156"/>
      <c r="AD62" s="1156"/>
      <c r="AE62" s="1156"/>
      <c r="AF62" s="1156"/>
      <c r="AG62" s="1156"/>
      <c r="AH62" s="1156"/>
      <c r="AI62" s="1156"/>
      <c r="AJ62" s="1156"/>
      <c r="AK62" s="1156"/>
      <c r="AL62" s="1156"/>
      <c r="AM62" s="1156"/>
      <c r="AN62" s="1156"/>
      <c r="AO62" s="1156"/>
      <c r="AP62" s="384"/>
      <c r="AQ62" s="384"/>
      <c r="AR62" s="384"/>
      <c r="AS62" s="384"/>
      <c r="AT62" s="384"/>
      <c r="AU62" s="384"/>
      <c r="AV62" s="384"/>
      <c r="AW62" s="446"/>
      <c r="AX62" s="273"/>
    </row>
    <row r="63" spans="2:50" ht="3.75" customHeight="1">
      <c r="B63" s="272"/>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446"/>
      <c r="AB63" s="446"/>
      <c r="AC63" s="446"/>
      <c r="AD63" s="446"/>
      <c r="AE63" s="446"/>
      <c r="AF63" s="446"/>
      <c r="AG63" s="446"/>
      <c r="AH63" s="446"/>
      <c r="AI63" s="446"/>
      <c r="AJ63" s="446"/>
      <c r="AK63" s="446"/>
      <c r="AL63" s="446"/>
      <c r="AM63" s="446"/>
      <c r="AN63" s="446"/>
      <c r="AO63" s="446"/>
      <c r="AP63" s="446"/>
      <c r="AQ63" s="446"/>
      <c r="AR63" s="446"/>
      <c r="AS63" s="446"/>
      <c r="AT63" s="446"/>
      <c r="AU63" s="446"/>
      <c r="AV63" s="446"/>
      <c r="AW63" s="446"/>
      <c r="AX63" s="273"/>
    </row>
    <row r="64" spans="2:50" ht="3.75" customHeight="1">
      <c r="B64" s="275"/>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7"/>
      <c r="AC64" s="276"/>
      <c r="AD64" s="276"/>
      <c r="AE64" s="276"/>
      <c r="AF64" s="276"/>
      <c r="AG64" s="276"/>
      <c r="AH64" s="276"/>
      <c r="AI64" s="276"/>
      <c r="AJ64" s="276"/>
      <c r="AK64" s="276"/>
      <c r="AL64" s="276"/>
      <c r="AM64" s="276"/>
      <c r="AN64" s="276"/>
      <c r="AO64" s="276"/>
      <c r="AP64" s="276"/>
      <c r="AQ64" s="276"/>
      <c r="AR64" s="276"/>
      <c r="AS64" s="276"/>
      <c r="AT64" s="276"/>
      <c r="AU64" s="276"/>
      <c r="AV64" s="276"/>
      <c r="AW64" s="276"/>
      <c r="AX64" s="278"/>
    </row>
    <row r="65" ht="3.75" customHeight="1"/>
  </sheetData>
  <mergeCells count="89">
    <mergeCell ref="AA44:AO46"/>
    <mergeCell ref="AA52:AO54"/>
    <mergeCell ref="V4:V6"/>
    <mergeCell ref="V12:V14"/>
    <mergeCell ref="H20:U20"/>
    <mergeCell ref="V20:V22"/>
    <mergeCell ref="H21:J21"/>
    <mergeCell ref="K21:O21"/>
    <mergeCell ref="S21:U21"/>
    <mergeCell ref="AA4:AO6"/>
    <mergeCell ref="AA12:AO14"/>
    <mergeCell ref="AA20:AO22"/>
    <mergeCell ref="AA28:AO30"/>
    <mergeCell ref="AA36:AO38"/>
    <mergeCell ref="S22:U22"/>
    <mergeCell ref="S30:U30"/>
    <mergeCell ref="D60:D62"/>
    <mergeCell ref="P61:R61"/>
    <mergeCell ref="H60:U60"/>
    <mergeCell ref="P53:R53"/>
    <mergeCell ref="D20:D22"/>
    <mergeCell ref="P21:R21"/>
    <mergeCell ref="D28:D30"/>
    <mergeCell ref="P29:R29"/>
    <mergeCell ref="H28:U28"/>
    <mergeCell ref="H29:J29"/>
    <mergeCell ref="K29:O29"/>
    <mergeCell ref="S29:U29"/>
    <mergeCell ref="M30:O30"/>
    <mergeCell ref="M54:O54"/>
    <mergeCell ref="S54:U54"/>
    <mergeCell ref="M22:O22"/>
    <mergeCell ref="V60:V62"/>
    <mergeCell ref="H61:J61"/>
    <mergeCell ref="K61:O61"/>
    <mergeCell ref="S61:U61"/>
    <mergeCell ref="M62:O62"/>
    <mergeCell ref="S62:U62"/>
    <mergeCell ref="AA60:AO62"/>
    <mergeCell ref="D36:D38"/>
    <mergeCell ref="P37:R37"/>
    <mergeCell ref="D52:D54"/>
    <mergeCell ref="D44:D46"/>
    <mergeCell ref="H44:U44"/>
    <mergeCell ref="H45:J45"/>
    <mergeCell ref="K45:O45"/>
    <mergeCell ref="S45:U45"/>
    <mergeCell ref="M46:O46"/>
    <mergeCell ref="S46:U46"/>
    <mergeCell ref="H52:U52"/>
    <mergeCell ref="H53:J53"/>
    <mergeCell ref="K53:O53"/>
    <mergeCell ref="S53:U53"/>
    <mergeCell ref="P45:R45"/>
    <mergeCell ref="D12:D14"/>
    <mergeCell ref="D4:D6"/>
    <mergeCell ref="P13:R13"/>
    <mergeCell ref="H4:U4"/>
    <mergeCell ref="H5:J5"/>
    <mergeCell ref="K5:O5"/>
    <mergeCell ref="S5:U5"/>
    <mergeCell ref="M6:O6"/>
    <mergeCell ref="S6:U6"/>
    <mergeCell ref="H12:U12"/>
    <mergeCell ref="P5:R5"/>
    <mergeCell ref="M14:O14"/>
    <mergeCell ref="S14:U14"/>
    <mergeCell ref="H13:J13"/>
    <mergeCell ref="K13:O13"/>
    <mergeCell ref="S13:U13"/>
    <mergeCell ref="H36:U36"/>
    <mergeCell ref="V28:V30"/>
    <mergeCell ref="V44:V46"/>
    <mergeCell ref="V52:V54"/>
    <mergeCell ref="V36:V38"/>
    <mergeCell ref="H37:J37"/>
    <mergeCell ref="K37:O37"/>
    <mergeCell ref="S37:U37"/>
    <mergeCell ref="M38:O38"/>
    <mergeCell ref="S38:U38"/>
    <mergeCell ref="AZ4:AZ5"/>
    <mergeCell ref="BB4:BB5"/>
    <mergeCell ref="BE34:BE36"/>
    <mergeCell ref="AZ42:BB44"/>
    <mergeCell ref="BC42:BC44"/>
    <mergeCell ref="BD42:BD44"/>
    <mergeCell ref="AZ34:BB36"/>
    <mergeCell ref="BC34:BC36"/>
    <mergeCell ref="BD34:BD36"/>
  </mergeCells>
  <hyperlinks>
    <hyperlink ref="BB4" location="'10_zapfschild'!Q7" tooltip="Weiter zum Zapfschild" display="ð" xr:uid="{00000000-0004-0000-0D00-000000000000}"/>
    <hyperlink ref="AZ4" location="'8_untappd'!A1" tooltip="zurück zu Untappd" display="ï" xr:uid="{00000000-0004-0000-0D00-000001000000}"/>
    <hyperlink ref="BA4" location="start!A1" tooltip="zur Startseite" display="ñ" xr:uid="{00000000-0004-0000-0D00-000002000000}"/>
    <hyperlink ref="AZ46" r:id="rId1" xr:uid="{00000000-0004-0000-0D00-000003000000}"/>
  </hyperlinks>
  <pageMargins left="0.39370078740157483" right="0.39370078740157483" top="0.39370078740157483" bottom="0.39370078740157483" header="0.31496062992125984" footer="0.31496062992125984"/>
  <pageSetup paperSize="9"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B1:AW57"/>
  <sheetViews>
    <sheetView showGridLines="0" showRowColHeaders="0" zoomScale="110" zoomScaleNormal="110" zoomScaleSheetLayoutView="96" workbookViewId="0">
      <selection activeCell="AS4" sqref="AS4"/>
    </sheetView>
  </sheetViews>
  <sheetFormatPr baseColWidth="10" defaultColWidth="11.44140625" defaultRowHeight="14.4"/>
  <cols>
    <col min="1" max="1" width="1.109375" style="387" customWidth="1"/>
    <col min="2" max="3" width="0.6640625" style="387" customWidth="1"/>
    <col min="4" max="19" width="2.88671875" style="387" customWidth="1"/>
    <col min="20" max="21" width="0.6640625" style="387" customWidth="1"/>
    <col min="22" max="22" width="0.44140625" style="387" customWidth="1"/>
    <col min="23" max="24" width="0.6640625" style="387" customWidth="1"/>
    <col min="25" max="40" width="2.88671875" style="387" customWidth="1"/>
    <col min="41" max="43" width="0.6640625" style="387" customWidth="1"/>
    <col min="44" max="46" width="3.109375" style="387" customWidth="1"/>
    <col min="47" max="214" width="11.44140625" style="387"/>
    <col min="215" max="215" width="2.88671875" style="387" customWidth="1"/>
    <col min="216" max="217" width="0.6640625" style="387" customWidth="1"/>
    <col min="218" max="262" width="2.88671875" style="387" customWidth="1"/>
    <col min="263" max="264" width="0.6640625" style="387" customWidth="1"/>
    <col min="265" max="267" width="2.88671875" style="387" customWidth="1"/>
    <col min="268" max="470" width="11.44140625" style="387"/>
    <col min="471" max="471" width="2.88671875" style="387" customWidth="1"/>
    <col min="472" max="473" width="0.6640625" style="387" customWidth="1"/>
    <col min="474" max="518" width="2.88671875" style="387" customWidth="1"/>
    <col min="519" max="520" width="0.6640625" style="387" customWidth="1"/>
    <col min="521" max="523" width="2.88671875" style="387" customWidth="1"/>
    <col min="524" max="726" width="11.44140625" style="387"/>
    <col min="727" max="727" width="2.88671875" style="387" customWidth="1"/>
    <col min="728" max="729" width="0.6640625" style="387" customWidth="1"/>
    <col min="730" max="774" width="2.88671875" style="387" customWidth="1"/>
    <col min="775" max="776" width="0.6640625" style="387" customWidth="1"/>
    <col min="777" max="779" width="2.88671875" style="387" customWidth="1"/>
    <col min="780" max="982" width="11.44140625" style="387"/>
    <col min="983" max="983" width="2.88671875" style="387" customWidth="1"/>
    <col min="984" max="985" width="0.6640625" style="387" customWidth="1"/>
    <col min="986" max="1030" width="2.88671875" style="387" customWidth="1"/>
    <col min="1031" max="1032" width="0.6640625" style="387" customWidth="1"/>
    <col min="1033" max="1035" width="2.88671875" style="387" customWidth="1"/>
    <col min="1036" max="1238" width="11.44140625" style="387"/>
    <col min="1239" max="1239" width="2.88671875" style="387" customWidth="1"/>
    <col min="1240" max="1241" width="0.6640625" style="387" customWidth="1"/>
    <col min="1242" max="1286" width="2.88671875" style="387" customWidth="1"/>
    <col min="1287" max="1288" width="0.6640625" style="387" customWidth="1"/>
    <col min="1289" max="1291" width="2.88671875" style="387" customWidth="1"/>
    <col min="1292" max="1494" width="11.44140625" style="387"/>
    <col min="1495" max="1495" width="2.88671875" style="387" customWidth="1"/>
    <col min="1496" max="1497" width="0.6640625" style="387" customWidth="1"/>
    <col min="1498" max="1542" width="2.88671875" style="387" customWidth="1"/>
    <col min="1543" max="1544" width="0.6640625" style="387" customWidth="1"/>
    <col min="1545" max="1547" width="2.88671875" style="387" customWidth="1"/>
    <col min="1548" max="1750" width="11.44140625" style="387"/>
    <col min="1751" max="1751" width="2.88671875" style="387" customWidth="1"/>
    <col min="1752" max="1753" width="0.6640625" style="387" customWidth="1"/>
    <col min="1754" max="1798" width="2.88671875" style="387" customWidth="1"/>
    <col min="1799" max="1800" width="0.6640625" style="387" customWidth="1"/>
    <col min="1801" max="1803" width="2.88671875" style="387" customWidth="1"/>
    <col min="1804" max="2006" width="11.44140625" style="387"/>
    <col min="2007" max="2007" width="2.88671875" style="387" customWidth="1"/>
    <col min="2008" max="2009" width="0.6640625" style="387" customWidth="1"/>
    <col min="2010" max="2054" width="2.88671875" style="387" customWidth="1"/>
    <col min="2055" max="2056" width="0.6640625" style="387" customWidth="1"/>
    <col min="2057" max="2059" width="2.88671875" style="387" customWidth="1"/>
    <col min="2060" max="2262" width="11.44140625" style="387"/>
    <col min="2263" max="2263" width="2.88671875" style="387" customWidth="1"/>
    <col min="2264" max="2265" width="0.6640625" style="387" customWidth="1"/>
    <col min="2266" max="2310" width="2.88671875" style="387" customWidth="1"/>
    <col min="2311" max="2312" width="0.6640625" style="387" customWidth="1"/>
    <col min="2313" max="2315" width="2.88671875" style="387" customWidth="1"/>
    <col min="2316" max="2518" width="11.44140625" style="387"/>
    <col min="2519" max="2519" width="2.88671875" style="387" customWidth="1"/>
    <col min="2520" max="2521" width="0.6640625" style="387" customWidth="1"/>
    <col min="2522" max="2566" width="2.88671875" style="387" customWidth="1"/>
    <col min="2567" max="2568" width="0.6640625" style="387" customWidth="1"/>
    <col min="2569" max="2571" width="2.88671875" style="387" customWidth="1"/>
    <col min="2572" max="2774" width="11.44140625" style="387"/>
    <col min="2775" max="2775" width="2.88671875" style="387" customWidth="1"/>
    <col min="2776" max="2777" width="0.6640625" style="387" customWidth="1"/>
    <col min="2778" max="2822" width="2.88671875" style="387" customWidth="1"/>
    <col min="2823" max="2824" width="0.6640625" style="387" customWidth="1"/>
    <col min="2825" max="2827" width="2.88671875" style="387" customWidth="1"/>
    <col min="2828" max="3030" width="11.44140625" style="387"/>
    <col min="3031" max="3031" width="2.88671875" style="387" customWidth="1"/>
    <col min="3032" max="3033" width="0.6640625" style="387" customWidth="1"/>
    <col min="3034" max="3078" width="2.88671875" style="387" customWidth="1"/>
    <col min="3079" max="3080" width="0.6640625" style="387" customWidth="1"/>
    <col min="3081" max="3083" width="2.88671875" style="387" customWidth="1"/>
    <col min="3084" max="3286" width="11.44140625" style="387"/>
    <col min="3287" max="3287" width="2.88671875" style="387" customWidth="1"/>
    <col min="3288" max="3289" width="0.6640625" style="387" customWidth="1"/>
    <col min="3290" max="3334" width="2.88671875" style="387" customWidth="1"/>
    <col min="3335" max="3336" width="0.6640625" style="387" customWidth="1"/>
    <col min="3337" max="3339" width="2.88671875" style="387" customWidth="1"/>
    <col min="3340" max="3542" width="11.44140625" style="387"/>
    <col min="3543" max="3543" width="2.88671875" style="387" customWidth="1"/>
    <col min="3544" max="3545" width="0.6640625" style="387" customWidth="1"/>
    <col min="3546" max="3590" width="2.88671875" style="387" customWidth="1"/>
    <col min="3591" max="3592" width="0.6640625" style="387" customWidth="1"/>
    <col min="3593" max="3595" width="2.88671875" style="387" customWidth="1"/>
    <col min="3596" max="3798" width="11.44140625" style="387"/>
    <col min="3799" max="3799" width="2.88671875" style="387" customWidth="1"/>
    <col min="3800" max="3801" width="0.6640625" style="387" customWidth="1"/>
    <col min="3802" max="3846" width="2.88671875" style="387" customWidth="1"/>
    <col min="3847" max="3848" width="0.6640625" style="387" customWidth="1"/>
    <col min="3849" max="3851" width="2.88671875" style="387" customWidth="1"/>
    <col min="3852" max="4054" width="11.44140625" style="387"/>
    <col min="4055" max="4055" width="2.88671875" style="387" customWidth="1"/>
    <col min="4056" max="4057" width="0.6640625" style="387" customWidth="1"/>
    <col min="4058" max="4102" width="2.88671875" style="387" customWidth="1"/>
    <col min="4103" max="4104" width="0.6640625" style="387" customWidth="1"/>
    <col min="4105" max="4107" width="2.88671875" style="387" customWidth="1"/>
    <col min="4108" max="4310" width="11.44140625" style="387"/>
    <col min="4311" max="4311" width="2.88671875" style="387" customWidth="1"/>
    <col min="4312" max="4313" width="0.6640625" style="387" customWidth="1"/>
    <col min="4314" max="4358" width="2.88671875" style="387" customWidth="1"/>
    <col min="4359" max="4360" width="0.6640625" style="387" customWidth="1"/>
    <col min="4361" max="4363" width="2.88671875" style="387" customWidth="1"/>
    <col min="4364" max="4566" width="11.44140625" style="387"/>
    <col min="4567" max="4567" width="2.88671875" style="387" customWidth="1"/>
    <col min="4568" max="4569" width="0.6640625" style="387" customWidth="1"/>
    <col min="4570" max="4614" width="2.88671875" style="387" customWidth="1"/>
    <col min="4615" max="4616" width="0.6640625" style="387" customWidth="1"/>
    <col min="4617" max="4619" width="2.88671875" style="387" customWidth="1"/>
    <col min="4620" max="4822" width="11.44140625" style="387"/>
    <col min="4823" max="4823" width="2.88671875" style="387" customWidth="1"/>
    <col min="4824" max="4825" width="0.6640625" style="387" customWidth="1"/>
    <col min="4826" max="4870" width="2.88671875" style="387" customWidth="1"/>
    <col min="4871" max="4872" width="0.6640625" style="387" customWidth="1"/>
    <col min="4873" max="4875" width="2.88671875" style="387" customWidth="1"/>
    <col min="4876" max="5078" width="11.44140625" style="387"/>
    <col min="5079" max="5079" width="2.88671875" style="387" customWidth="1"/>
    <col min="5080" max="5081" width="0.6640625" style="387" customWidth="1"/>
    <col min="5082" max="5126" width="2.88671875" style="387" customWidth="1"/>
    <col min="5127" max="5128" width="0.6640625" style="387" customWidth="1"/>
    <col min="5129" max="5131" width="2.88671875" style="387" customWidth="1"/>
    <col min="5132" max="5334" width="11.44140625" style="387"/>
    <col min="5335" max="5335" width="2.88671875" style="387" customWidth="1"/>
    <col min="5336" max="5337" width="0.6640625" style="387" customWidth="1"/>
    <col min="5338" max="5382" width="2.88671875" style="387" customWidth="1"/>
    <col min="5383" max="5384" width="0.6640625" style="387" customWidth="1"/>
    <col min="5385" max="5387" width="2.88671875" style="387" customWidth="1"/>
    <col min="5388" max="5590" width="11.44140625" style="387"/>
    <col min="5591" max="5591" width="2.88671875" style="387" customWidth="1"/>
    <col min="5592" max="5593" width="0.6640625" style="387" customWidth="1"/>
    <col min="5594" max="5638" width="2.88671875" style="387" customWidth="1"/>
    <col min="5639" max="5640" width="0.6640625" style="387" customWidth="1"/>
    <col min="5641" max="5643" width="2.88671875" style="387" customWidth="1"/>
    <col min="5644" max="5846" width="11.44140625" style="387"/>
    <col min="5847" max="5847" width="2.88671875" style="387" customWidth="1"/>
    <col min="5848" max="5849" width="0.6640625" style="387" customWidth="1"/>
    <col min="5850" max="5894" width="2.88671875" style="387" customWidth="1"/>
    <col min="5895" max="5896" width="0.6640625" style="387" customWidth="1"/>
    <col min="5897" max="5899" width="2.88671875" style="387" customWidth="1"/>
    <col min="5900" max="6102" width="11.44140625" style="387"/>
    <col min="6103" max="6103" width="2.88671875" style="387" customWidth="1"/>
    <col min="6104" max="6105" width="0.6640625" style="387" customWidth="1"/>
    <col min="6106" max="6150" width="2.88671875" style="387" customWidth="1"/>
    <col min="6151" max="6152" width="0.6640625" style="387" customWidth="1"/>
    <col min="6153" max="6155" width="2.88671875" style="387" customWidth="1"/>
    <col min="6156" max="6358" width="11.44140625" style="387"/>
    <col min="6359" max="6359" width="2.88671875" style="387" customWidth="1"/>
    <col min="6360" max="6361" width="0.6640625" style="387" customWidth="1"/>
    <col min="6362" max="6406" width="2.88671875" style="387" customWidth="1"/>
    <col min="6407" max="6408" width="0.6640625" style="387" customWidth="1"/>
    <col min="6409" max="6411" width="2.88671875" style="387" customWidth="1"/>
    <col min="6412" max="6614" width="11.44140625" style="387"/>
    <col min="6615" max="6615" width="2.88671875" style="387" customWidth="1"/>
    <col min="6616" max="6617" width="0.6640625" style="387" customWidth="1"/>
    <col min="6618" max="6662" width="2.88671875" style="387" customWidth="1"/>
    <col min="6663" max="6664" width="0.6640625" style="387" customWidth="1"/>
    <col min="6665" max="6667" width="2.88671875" style="387" customWidth="1"/>
    <col min="6668" max="6870" width="11.44140625" style="387"/>
    <col min="6871" max="6871" width="2.88671875" style="387" customWidth="1"/>
    <col min="6872" max="6873" width="0.6640625" style="387" customWidth="1"/>
    <col min="6874" max="6918" width="2.88671875" style="387" customWidth="1"/>
    <col min="6919" max="6920" width="0.6640625" style="387" customWidth="1"/>
    <col min="6921" max="6923" width="2.88671875" style="387" customWidth="1"/>
    <col min="6924" max="7126" width="11.44140625" style="387"/>
    <col min="7127" max="7127" width="2.88671875" style="387" customWidth="1"/>
    <col min="7128" max="7129" width="0.6640625" style="387" customWidth="1"/>
    <col min="7130" max="7174" width="2.88671875" style="387" customWidth="1"/>
    <col min="7175" max="7176" width="0.6640625" style="387" customWidth="1"/>
    <col min="7177" max="7179" width="2.88671875" style="387" customWidth="1"/>
    <col min="7180" max="7382" width="11.44140625" style="387"/>
    <col min="7383" max="7383" width="2.88671875" style="387" customWidth="1"/>
    <col min="7384" max="7385" width="0.6640625" style="387" customWidth="1"/>
    <col min="7386" max="7430" width="2.88671875" style="387" customWidth="1"/>
    <col min="7431" max="7432" width="0.6640625" style="387" customWidth="1"/>
    <col min="7433" max="7435" width="2.88671875" style="387" customWidth="1"/>
    <col min="7436" max="7638" width="11.44140625" style="387"/>
    <col min="7639" max="7639" width="2.88671875" style="387" customWidth="1"/>
    <col min="7640" max="7641" width="0.6640625" style="387" customWidth="1"/>
    <col min="7642" max="7686" width="2.88671875" style="387" customWidth="1"/>
    <col min="7687" max="7688" width="0.6640625" style="387" customWidth="1"/>
    <col min="7689" max="7691" width="2.88671875" style="387" customWidth="1"/>
    <col min="7692" max="7894" width="11.44140625" style="387"/>
    <col min="7895" max="7895" width="2.88671875" style="387" customWidth="1"/>
    <col min="7896" max="7897" width="0.6640625" style="387" customWidth="1"/>
    <col min="7898" max="7942" width="2.88671875" style="387" customWidth="1"/>
    <col min="7943" max="7944" width="0.6640625" style="387" customWidth="1"/>
    <col min="7945" max="7947" width="2.88671875" style="387" customWidth="1"/>
    <col min="7948" max="8150" width="11.44140625" style="387"/>
    <col min="8151" max="8151" width="2.88671875" style="387" customWidth="1"/>
    <col min="8152" max="8153" width="0.6640625" style="387" customWidth="1"/>
    <col min="8154" max="8198" width="2.88671875" style="387" customWidth="1"/>
    <col min="8199" max="8200" width="0.6640625" style="387" customWidth="1"/>
    <col min="8201" max="8203" width="2.88671875" style="387" customWidth="1"/>
    <col min="8204" max="8406" width="11.44140625" style="387"/>
    <col min="8407" max="8407" width="2.88671875" style="387" customWidth="1"/>
    <col min="8408" max="8409" width="0.6640625" style="387" customWidth="1"/>
    <col min="8410" max="8454" width="2.88671875" style="387" customWidth="1"/>
    <col min="8455" max="8456" width="0.6640625" style="387" customWidth="1"/>
    <col min="8457" max="8459" width="2.88671875" style="387" customWidth="1"/>
    <col min="8460" max="8662" width="11.44140625" style="387"/>
    <col min="8663" max="8663" width="2.88671875" style="387" customWidth="1"/>
    <col min="8664" max="8665" width="0.6640625" style="387" customWidth="1"/>
    <col min="8666" max="8710" width="2.88671875" style="387" customWidth="1"/>
    <col min="8711" max="8712" width="0.6640625" style="387" customWidth="1"/>
    <col min="8713" max="8715" width="2.88671875" style="387" customWidth="1"/>
    <col min="8716" max="8918" width="11.44140625" style="387"/>
    <col min="8919" max="8919" width="2.88671875" style="387" customWidth="1"/>
    <col min="8920" max="8921" width="0.6640625" style="387" customWidth="1"/>
    <col min="8922" max="8966" width="2.88671875" style="387" customWidth="1"/>
    <col min="8967" max="8968" width="0.6640625" style="387" customWidth="1"/>
    <col min="8969" max="8971" width="2.88671875" style="387" customWidth="1"/>
    <col min="8972" max="9174" width="11.44140625" style="387"/>
    <col min="9175" max="9175" width="2.88671875" style="387" customWidth="1"/>
    <col min="9176" max="9177" width="0.6640625" style="387" customWidth="1"/>
    <col min="9178" max="9222" width="2.88671875" style="387" customWidth="1"/>
    <col min="9223" max="9224" width="0.6640625" style="387" customWidth="1"/>
    <col min="9225" max="9227" width="2.88671875" style="387" customWidth="1"/>
    <col min="9228" max="9430" width="11.44140625" style="387"/>
    <col min="9431" max="9431" width="2.88671875" style="387" customWidth="1"/>
    <col min="9432" max="9433" width="0.6640625" style="387" customWidth="1"/>
    <col min="9434" max="9478" width="2.88671875" style="387" customWidth="1"/>
    <col min="9479" max="9480" width="0.6640625" style="387" customWidth="1"/>
    <col min="9481" max="9483" width="2.88671875" style="387" customWidth="1"/>
    <col min="9484" max="9686" width="11.44140625" style="387"/>
    <col min="9687" max="9687" width="2.88671875" style="387" customWidth="1"/>
    <col min="9688" max="9689" width="0.6640625" style="387" customWidth="1"/>
    <col min="9690" max="9734" width="2.88671875" style="387" customWidth="1"/>
    <col min="9735" max="9736" width="0.6640625" style="387" customWidth="1"/>
    <col min="9737" max="9739" width="2.88671875" style="387" customWidth="1"/>
    <col min="9740" max="9942" width="11.44140625" style="387"/>
    <col min="9943" max="9943" width="2.88671875" style="387" customWidth="1"/>
    <col min="9944" max="9945" width="0.6640625" style="387" customWidth="1"/>
    <col min="9946" max="9990" width="2.88671875" style="387" customWidth="1"/>
    <col min="9991" max="9992" width="0.6640625" style="387" customWidth="1"/>
    <col min="9993" max="9995" width="2.88671875" style="387" customWidth="1"/>
    <col min="9996" max="10198" width="11.44140625" style="387"/>
    <col min="10199" max="10199" width="2.88671875" style="387" customWidth="1"/>
    <col min="10200" max="10201" width="0.6640625" style="387" customWidth="1"/>
    <col min="10202" max="10246" width="2.88671875" style="387" customWidth="1"/>
    <col min="10247" max="10248" width="0.6640625" style="387" customWidth="1"/>
    <col min="10249" max="10251" width="2.88671875" style="387" customWidth="1"/>
    <col min="10252" max="10454" width="11.44140625" style="387"/>
    <col min="10455" max="10455" width="2.88671875" style="387" customWidth="1"/>
    <col min="10456" max="10457" width="0.6640625" style="387" customWidth="1"/>
    <col min="10458" max="10502" width="2.88671875" style="387" customWidth="1"/>
    <col min="10503" max="10504" width="0.6640625" style="387" customWidth="1"/>
    <col min="10505" max="10507" width="2.88671875" style="387" customWidth="1"/>
    <col min="10508" max="10710" width="11.44140625" style="387"/>
    <col min="10711" max="10711" width="2.88671875" style="387" customWidth="1"/>
    <col min="10712" max="10713" width="0.6640625" style="387" customWidth="1"/>
    <col min="10714" max="10758" width="2.88671875" style="387" customWidth="1"/>
    <col min="10759" max="10760" width="0.6640625" style="387" customWidth="1"/>
    <col min="10761" max="10763" width="2.88671875" style="387" customWidth="1"/>
    <col min="10764" max="10966" width="11.44140625" style="387"/>
    <col min="10967" max="10967" width="2.88671875" style="387" customWidth="1"/>
    <col min="10968" max="10969" width="0.6640625" style="387" customWidth="1"/>
    <col min="10970" max="11014" width="2.88671875" style="387" customWidth="1"/>
    <col min="11015" max="11016" width="0.6640625" style="387" customWidth="1"/>
    <col min="11017" max="11019" width="2.88671875" style="387" customWidth="1"/>
    <col min="11020" max="11222" width="11.44140625" style="387"/>
    <col min="11223" max="11223" width="2.88671875" style="387" customWidth="1"/>
    <col min="11224" max="11225" width="0.6640625" style="387" customWidth="1"/>
    <col min="11226" max="11270" width="2.88671875" style="387" customWidth="1"/>
    <col min="11271" max="11272" width="0.6640625" style="387" customWidth="1"/>
    <col min="11273" max="11275" width="2.88671875" style="387" customWidth="1"/>
    <col min="11276" max="11478" width="11.44140625" style="387"/>
    <col min="11479" max="11479" width="2.88671875" style="387" customWidth="1"/>
    <col min="11480" max="11481" width="0.6640625" style="387" customWidth="1"/>
    <col min="11482" max="11526" width="2.88671875" style="387" customWidth="1"/>
    <col min="11527" max="11528" width="0.6640625" style="387" customWidth="1"/>
    <col min="11529" max="11531" width="2.88671875" style="387" customWidth="1"/>
    <col min="11532" max="11734" width="11.44140625" style="387"/>
    <col min="11735" max="11735" width="2.88671875" style="387" customWidth="1"/>
    <col min="11736" max="11737" width="0.6640625" style="387" customWidth="1"/>
    <col min="11738" max="11782" width="2.88671875" style="387" customWidth="1"/>
    <col min="11783" max="11784" width="0.6640625" style="387" customWidth="1"/>
    <col min="11785" max="11787" width="2.88671875" style="387" customWidth="1"/>
    <col min="11788" max="11990" width="11.44140625" style="387"/>
    <col min="11991" max="11991" width="2.88671875" style="387" customWidth="1"/>
    <col min="11992" max="11993" width="0.6640625" style="387" customWidth="1"/>
    <col min="11994" max="12038" width="2.88671875" style="387" customWidth="1"/>
    <col min="12039" max="12040" width="0.6640625" style="387" customWidth="1"/>
    <col min="12041" max="12043" width="2.88671875" style="387" customWidth="1"/>
    <col min="12044" max="12246" width="11.44140625" style="387"/>
    <col min="12247" max="12247" width="2.88671875" style="387" customWidth="1"/>
    <col min="12248" max="12249" width="0.6640625" style="387" customWidth="1"/>
    <col min="12250" max="12294" width="2.88671875" style="387" customWidth="1"/>
    <col min="12295" max="12296" width="0.6640625" style="387" customWidth="1"/>
    <col min="12297" max="12299" width="2.88671875" style="387" customWidth="1"/>
    <col min="12300" max="12502" width="11.44140625" style="387"/>
    <col min="12503" max="12503" width="2.88671875" style="387" customWidth="1"/>
    <col min="12504" max="12505" width="0.6640625" style="387" customWidth="1"/>
    <col min="12506" max="12550" width="2.88671875" style="387" customWidth="1"/>
    <col min="12551" max="12552" width="0.6640625" style="387" customWidth="1"/>
    <col min="12553" max="12555" width="2.88671875" style="387" customWidth="1"/>
    <col min="12556" max="12758" width="11.44140625" style="387"/>
    <col min="12759" max="12759" width="2.88671875" style="387" customWidth="1"/>
    <col min="12760" max="12761" width="0.6640625" style="387" customWidth="1"/>
    <col min="12762" max="12806" width="2.88671875" style="387" customWidth="1"/>
    <col min="12807" max="12808" width="0.6640625" style="387" customWidth="1"/>
    <col min="12809" max="12811" width="2.88671875" style="387" customWidth="1"/>
    <col min="12812" max="13014" width="11.44140625" style="387"/>
    <col min="13015" max="13015" width="2.88671875" style="387" customWidth="1"/>
    <col min="13016" max="13017" width="0.6640625" style="387" customWidth="1"/>
    <col min="13018" max="13062" width="2.88671875" style="387" customWidth="1"/>
    <col min="13063" max="13064" width="0.6640625" style="387" customWidth="1"/>
    <col min="13065" max="13067" width="2.88671875" style="387" customWidth="1"/>
    <col min="13068" max="13270" width="11.44140625" style="387"/>
    <col min="13271" max="13271" width="2.88671875" style="387" customWidth="1"/>
    <col min="13272" max="13273" width="0.6640625" style="387" customWidth="1"/>
    <col min="13274" max="13318" width="2.88671875" style="387" customWidth="1"/>
    <col min="13319" max="13320" width="0.6640625" style="387" customWidth="1"/>
    <col min="13321" max="13323" width="2.88671875" style="387" customWidth="1"/>
    <col min="13324" max="13526" width="11.44140625" style="387"/>
    <col min="13527" max="13527" width="2.88671875" style="387" customWidth="1"/>
    <col min="13528" max="13529" width="0.6640625" style="387" customWidth="1"/>
    <col min="13530" max="13574" width="2.88671875" style="387" customWidth="1"/>
    <col min="13575" max="13576" width="0.6640625" style="387" customWidth="1"/>
    <col min="13577" max="13579" width="2.88671875" style="387" customWidth="1"/>
    <col min="13580" max="13782" width="11.44140625" style="387"/>
    <col min="13783" max="13783" width="2.88671875" style="387" customWidth="1"/>
    <col min="13784" max="13785" width="0.6640625" style="387" customWidth="1"/>
    <col min="13786" max="13830" width="2.88671875" style="387" customWidth="1"/>
    <col min="13831" max="13832" width="0.6640625" style="387" customWidth="1"/>
    <col min="13833" max="13835" width="2.88671875" style="387" customWidth="1"/>
    <col min="13836" max="14038" width="11.44140625" style="387"/>
    <col min="14039" max="14039" width="2.88671875" style="387" customWidth="1"/>
    <col min="14040" max="14041" width="0.6640625" style="387" customWidth="1"/>
    <col min="14042" max="14086" width="2.88671875" style="387" customWidth="1"/>
    <col min="14087" max="14088" width="0.6640625" style="387" customWidth="1"/>
    <col min="14089" max="14091" width="2.88671875" style="387" customWidth="1"/>
    <col min="14092" max="14294" width="11.44140625" style="387"/>
    <col min="14295" max="14295" width="2.88671875" style="387" customWidth="1"/>
    <col min="14296" max="14297" width="0.6640625" style="387" customWidth="1"/>
    <col min="14298" max="14342" width="2.88671875" style="387" customWidth="1"/>
    <col min="14343" max="14344" width="0.6640625" style="387" customWidth="1"/>
    <col min="14345" max="14347" width="2.88671875" style="387" customWidth="1"/>
    <col min="14348" max="14550" width="11.44140625" style="387"/>
    <col min="14551" max="14551" width="2.88671875" style="387" customWidth="1"/>
    <col min="14552" max="14553" width="0.6640625" style="387" customWidth="1"/>
    <col min="14554" max="14598" width="2.88671875" style="387" customWidth="1"/>
    <col min="14599" max="14600" width="0.6640625" style="387" customWidth="1"/>
    <col min="14601" max="14603" width="2.88671875" style="387" customWidth="1"/>
    <col min="14604" max="14806" width="11.44140625" style="387"/>
    <col min="14807" max="14807" width="2.88671875" style="387" customWidth="1"/>
    <col min="14808" max="14809" width="0.6640625" style="387" customWidth="1"/>
    <col min="14810" max="14854" width="2.88671875" style="387" customWidth="1"/>
    <col min="14855" max="14856" width="0.6640625" style="387" customWidth="1"/>
    <col min="14857" max="14859" width="2.88671875" style="387" customWidth="1"/>
    <col min="14860" max="15062" width="11.44140625" style="387"/>
    <col min="15063" max="15063" width="2.88671875" style="387" customWidth="1"/>
    <col min="15064" max="15065" width="0.6640625" style="387" customWidth="1"/>
    <col min="15066" max="15110" width="2.88671875" style="387" customWidth="1"/>
    <col min="15111" max="15112" width="0.6640625" style="387" customWidth="1"/>
    <col min="15113" max="15115" width="2.88671875" style="387" customWidth="1"/>
    <col min="15116" max="15318" width="11.44140625" style="387"/>
    <col min="15319" max="15319" width="2.88671875" style="387" customWidth="1"/>
    <col min="15320" max="15321" width="0.6640625" style="387" customWidth="1"/>
    <col min="15322" max="15366" width="2.88671875" style="387" customWidth="1"/>
    <col min="15367" max="15368" width="0.6640625" style="387" customWidth="1"/>
    <col min="15369" max="15371" width="2.88671875" style="387" customWidth="1"/>
    <col min="15372" max="15574" width="11.44140625" style="387"/>
    <col min="15575" max="15575" width="2.88671875" style="387" customWidth="1"/>
    <col min="15576" max="15577" width="0.6640625" style="387" customWidth="1"/>
    <col min="15578" max="15622" width="2.88671875" style="387" customWidth="1"/>
    <col min="15623" max="15624" width="0.6640625" style="387" customWidth="1"/>
    <col min="15625" max="15627" width="2.88671875" style="387" customWidth="1"/>
    <col min="15628" max="15830" width="11.44140625" style="387"/>
    <col min="15831" max="15831" width="2.88671875" style="387" customWidth="1"/>
    <col min="15832" max="15833" width="0.6640625" style="387" customWidth="1"/>
    <col min="15834" max="15878" width="2.88671875" style="387" customWidth="1"/>
    <col min="15879" max="15880" width="0.6640625" style="387" customWidth="1"/>
    <col min="15881" max="15883" width="2.88671875" style="387" customWidth="1"/>
    <col min="15884" max="16086" width="11.44140625" style="387"/>
    <col min="16087" max="16087" width="2.88671875" style="387" customWidth="1"/>
    <col min="16088" max="16089" width="0.6640625" style="387" customWidth="1"/>
    <col min="16090" max="16134" width="2.88671875" style="387" customWidth="1"/>
    <col min="16135" max="16136" width="0.6640625" style="387" customWidth="1"/>
    <col min="16137" max="16139" width="2.88671875" style="387" customWidth="1"/>
    <col min="16140" max="16384" width="11.44140625" style="387"/>
  </cols>
  <sheetData>
    <row r="1" spans="2:49" ht="6" customHeight="1"/>
    <row r="2" spans="2:49" ht="3.6" customHeight="1">
      <c r="B2" s="388"/>
      <c r="C2" s="389"/>
      <c r="D2" s="389"/>
      <c r="E2" s="389"/>
      <c r="F2" s="389"/>
      <c r="G2" s="389"/>
      <c r="H2" s="389"/>
      <c r="I2" s="389"/>
      <c r="J2" s="389"/>
      <c r="K2" s="389"/>
      <c r="L2" s="389"/>
      <c r="M2" s="389"/>
      <c r="N2" s="389"/>
      <c r="O2" s="389"/>
      <c r="P2" s="389"/>
      <c r="Q2" s="389"/>
      <c r="R2" s="389"/>
      <c r="S2" s="389"/>
      <c r="T2" s="389"/>
      <c r="U2" s="390"/>
      <c r="W2" s="388"/>
      <c r="X2" s="389"/>
      <c r="Y2" s="389"/>
      <c r="Z2" s="389"/>
      <c r="AA2" s="389"/>
      <c r="AB2" s="389"/>
      <c r="AC2" s="389"/>
      <c r="AD2" s="389"/>
      <c r="AE2" s="389"/>
      <c r="AF2" s="389"/>
      <c r="AG2" s="389"/>
      <c r="AH2" s="389"/>
      <c r="AI2" s="389"/>
      <c r="AJ2" s="389"/>
      <c r="AK2" s="389"/>
      <c r="AL2" s="389"/>
      <c r="AM2" s="389"/>
      <c r="AN2" s="389"/>
      <c r="AO2" s="389"/>
      <c r="AP2" s="390"/>
    </row>
    <row r="3" spans="2:49" ht="3.6" customHeight="1">
      <c r="B3" s="391"/>
      <c r="C3" s="392"/>
      <c r="D3" s="392"/>
      <c r="E3" s="392"/>
      <c r="F3" s="392"/>
      <c r="G3" s="392"/>
      <c r="H3" s="392"/>
      <c r="I3" s="392"/>
      <c r="J3" s="392"/>
      <c r="K3" s="392"/>
      <c r="L3" s="392"/>
      <c r="M3" s="392"/>
      <c r="N3" s="392"/>
      <c r="O3" s="392"/>
      <c r="P3" s="392"/>
      <c r="Q3" s="392"/>
      <c r="R3" s="392"/>
      <c r="S3" s="392"/>
      <c r="T3" s="392"/>
      <c r="U3" s="393"/>
      <c r="W3" s="391"/>
      <c r="X3" s="392"/>
      <c r="Y3" s="392"/>
      <c r="Z3" s="392"/>
      <c r="AA3" s="392"/>
      <c r="AB3" s="392"/>
      <c r="AC3" s="392"/>
      <c r="AD3" s="392"/>
      <c r="AE3" s="392"/>
      <c r="AF3" s="392"/>
      <c r="AG3" s="392"/>
      <c r="AH3" s="392"/>
      <c r="AI3" s="392"/>
      <c r="AJ3" s="392"/>
      <c r="AK3" s="392"/>
      <c r="AL3" s="392"/>
      <c r="AM3" s="392"/>
      <c r="AN3" s="392"/>
      <c r="AO3" s="392"/>
      <c r="AP3" s="393"/>
    </row>
    <row r="4" spans="2:49" ht="15">
      <c r="B4" s="391"/>
      <c r="C4" s="392"/>
      <c r="D4" s="1179" t="str">
        <f>'4a_sud-journal'!$V$79</f>
        <v/>
      </c>
      <c r="E4" s="1180"/>
      <c r="F4" s="1180"/>
      <c r="G4" s="498"/>
      <c r="H4" s="499"/>
      <c r="I4" s="499"/>
      <c r="J4" s="499"/>
      <c r="K4" s="499"/>
      <c r="L4" s="499"/>
      <c r="M4" s="499"/>
      <c r="N4" s="499"/>
      <c r="O4" s="499"/>
      <c r="P4" s="499"/>
      <c r="Q4" s="498" t="s">
        <v>788</v>
      </c>
      <c r="R4" s="500"/>
      <c r="S4" s="501"/>
      <c r="T4" s="392"/>
      <c r="U4" s="393"/>
      <c r="W4" s="391"/>
      <c r="X4" s="392"/>
      <c r="Y4" s="1179" t="str">
        <f>'4a_sud-journal'!$V$79</f>
        <v/>
      </c>
      <c r="Z4" s="1180"/>
      <c r="AA4" s="1180"/>
      <c r="AB4" s="498"/>
      <c r="AC4" s="499"/>
      <c r="AD4" s="499"/>
      <c r="AE4" s="499"/>
      <c r="AF4" s="499"/>
      <c r="AG4" s="499"/>
      <c r="AH4" s="499"/>
      <c r="AI4" s="499"/>
      <c r="AJ4" s="499"/>
      <c r="AK4" s="499"/>
      <c r="AL4" s="498" t="s">
        <v>788</v>
      </c>
      <c r="AM4" s="500"/>
      <c r="AN4" s="501"/>
      <c r="AO4" s="392"/>
      <c r="AP4" s="393"/>
      <c r="AR4" s="1130" t="s">
        <v>246</v>
      </c>
      <c r="AS4" s="439" t="s">
        <v>832</v>
      </c>
      <c r="AT4" s="1157"/>
    </row>
    <row r="5" spans="2:49" ht="15" customHeight="1">
      <c r="B5" s="391"/>
      <c r="C5" s="392"/>
      <c r="D5" s="1190" t="str">
        <f>'5_gaerdiagramm'!$F$38</f>
        <v/>
      </c>
      <c r="E5" s="1191"/>
      <c r="F5" s="1191"/>
      <c r="G5" s="1191"/>
      <c r="H5" s="465"/>
      <c r="I5" s="465"/>
      <c r="J5" s="465"/>
      <c r="K5" s="465"/>
      <c r="L5" s="465"/>
      <c r="M5" s="465"/>
      <c r="N5" s="465"/>
      <c r="O5" s="465"/>
      <c r="P5" s="502"/>
      <c r="Q5" s="1192">
        <f>'1_vorbereitung'!$F$6</f>
        <v>0</v>
      </c>
      <c r="R5" s="1192"/>
      <c r="S5" s="1193"/>
      <c r="T5" s="392"/>
      <c r="U5" s="393"/>
      <c r="W5" s="391"/>
      <c r="X5" s="392"/>
      <c r="Y5" s="1190" t="str">
        <f>'5_gaerdiagramm'!$F$38</f>
        <v/>
      </c>
      <c r="Z5" s="1191"/>
      <c r="AA5" s="1191"/>
      <c r="AB5" s="1191"/>
      <c r="AC5" s="465"/>
      <c r="AD5" s="465"/>
      <c r="AE5" s="465"/>
      <c r="AF5" s="465"/>
      <c r="AG5" s="465"/>
      <c r="AH5" s="465"/>
      <c r="AI5" s="465"/>
      <c r="AJ5" s="465"/>
      <c r="AK5" s="502"/>
      <c r="AL5" s="1192">
        <f>'1_vorbereitung'!$F$6</f>
        <v>0</v>
      </c>
      <c r="AM5" s="1192"/>
      <c r="AN5" s="1193"/>
      <c r="AO5" s="392"/>
      <c r="AP5" s="393"/>
      <c r="AR5" s="1131"/>
      <c r="AS5" s="443"/>
      <c r="AT5" s="1158"/>
    </row>
    <row r="6" spans="2:49">
      <c r="B6" s="391"/>
      <c r="C6" s="392"/>
      <c r="D6" s="1194" t="str">
        <f>'3_rezeptkarte'!$T$8</f>
        <v/>
      </c>
      <c r="E6" s="1195"/>
      <c r="F6" s="1195"/>
      <c r="G6" s="1195"/>
      <c r="H6" s="465"/>
      <c r="I6" s="465"/>
      <c r="J6" s="465"/>
      <c r="K6" s="465"/>
      <c r="L6" s="465"/>
      <c r="M6" s="465"/>
      <c r="N6" s="465"/>
      <c r="O6" s="465"/>
      <c r="P6" s="503"/>
      <c r="Q6" s="504" t="s">
        <v>834</v>
      </c>
      <c r="R6" s="505"/>
      <c r="S6" s="506"/>
      <c r="T6" s="392"/>
      <c r="U6" s="393"/>
      <c r="W6" s="391"/>
      <c r="X6" s="392"/>
      <c r="Y6" s="1194" t="str">
        <f>'3_rezeptkarte'!$T$8</f>
        <v/>
      </c>
      <c r="Z6" s="1195"/>
      <c r="AA6" s="1195"/>
      <c r="AB6" s="1195"/>
      <c r="AC6" s="465"/>
      <c r="AD6" s="465"/>
      <c r="AE6" s="465"/>
      <c r="AF6" s="465"/>
      <c r="AG6" s="465"/>
      <c r="AH6" s="465"/>
      <c r="AI6" s="465"/>
      <c r="AJ6" s="465"/>
      <c r="AK6" s="503"/>
      <c r="AL6" s="504" t="s">
        <v>834</v>
      </c>
      <c r="AM6" s="505"/>
      <c r="AN6" s="506"/>
      <c r="AO6" s="392"/>
      <c r="AP6" s="393"/>
    </row>
    <row r="7" spans="2:49">
      <c r="B7" s="391"/>
      <c r="C7" s="392"/>
      <c r="D7" s="1196" t="str">
        <f>'3_rezeptkarte'!$AA$8</f>
        <v/>
      </c>
      <c r="E7" s="1197"/>
      <c r="F7" s="1197"/>
      <c r="G7" s="507"/>
      <c r="H7" s="465"/>
      <c r="I7" s="465"/>
      <c r="J7" s="465"/>
      <c r="K7" s="465"/>
      <c r="L7" s="465"/>
      <c r="M7" s="465"/>
      <c r="N7" s="465"/>
      <c r="O7" s="465"/>
      <c r="P7" s="508"/>
      <c r="Q7" s="1188">
        <v>43466</v>
      </c>
      <c r="R7" s="1188"/>
      <c r="S7" s="1189"/>
      <c r="T7" s="392"/>
      <c r="U7" s="393"/>
      <c r="W7" s="391"/>
      <c r="X7" s="392"/>
      <c r="Y7" s="1196" t="str">
        <f>'3_rezeptkarte'!$AA$8</f>
        <v/>
      </c>
      <c r="Z7" s="1197"/>
      <c r="AA7" s="1197"/>
      <c r="AB7" s="507"/>
      <c r="AC7" s="465"/>
      <c r="AD7" s="465"/>
      <c r="AE7" s="465"/>
      <c r="AF7" s="465"/>
      <c r="AG7" s="465"/>
      <c r="AH7" s="465"/>
      <c r="AI7" s="465"/>
      <c r="AJ7" s="465"/>
      <c r="AK7" s="508"/>
      <c r="AL7" s="1188">
        <f>$Q$7</f>
        <v>43466</v>
      </c>
      <c r="AM7" s="1188"/>
      <c r="AN7" s="1189"/>
      <c r="AO7" s="392"/>
      <c r="AP7" s="393"/>
      <c r="AR7" s="444"/>
      <c r="AS7" s="445" t="s">
        <v>789</v>
      </c>
      <c r="AT7" s="389"/>
      <c r="AU7" s="389"/>
      <c r="AV7" s="389"/>
      <c r="AW7" s="390"/>
    </row>
    <row r="8" spans="2:49">
      <c r="B8" s="391"/>
      <c r="C8" s="392"/>
      <c r="D8" s="509"/>
      <c r="E8" s="510"/>
      <c r="F8" s="510"/>
      <c r="G8" s="511"/>
      <c r="H8" s="465"/>
      <c r="I8" s="465"/>
      <c r="J8" s="465"/>
      <c r="K8" s="465"/>
      <c r="L8" s="465"/>
      <c r="M8" s="465"/>
      <c r="N8" s="465"/>
      <c r="O8" s="465"/>
      <c r="P8" s="512"/>
      <c r="Q8" s="1183"/>
      <c r="R8" s="1183"/>
      <c r="S8" s="1184"/>
      <c r="T8" s="392"/>
      <c r="U8" s="393"/>
      <c r="W8" s="391"/>
      <c r="X8" s="392"/>
      <c r="Y8" s="509"/>
      <c r="Z8" s="510"/>
      <c r="AA8" s="510"/>
      <c r="AB8" s="511"/>
      <c r="AC8" s="465"/>
      <c r="AD8" s="465"/>
      <c r="AE8" s="465"/>
      <c r="AF8" s="465"/>
      <c r="AG8" s="465"/>
      <c r="AH8" s="465"/>
      <c r="AI8" s="465"/>
      <c r="AJ8" s="465"/>
      <c r="AK8" s="512"/>
      <c r="AL8" s="1183"/>
      <c r="AM8" s="1183"/>
      <c r="AN8" s="1184"/>
      <c r="AO8" s="392"/>
      <c r="AP8" s="393"/>
      <c r="AS8" s="391"/>
      <c r="AW8" s="393"/>
    </row>
    <row r="9" spans="2:49" ht="14.4" customHeight="1">
      <c r="B9" s="391"/>
      <c r="C9" s="392"/>
      <c r="D9" s="1185">
        <f>'3_rezeptkarte'!$C$6</f>
        <v>0</v>
      </c>
      <c r="E9" s="1186"/>
      <c r="F9" s="1186"/>
      <c r="G9" s="1186"/>
      <c r="H9" s="1186"/>
      <c r="I9" s="1186"/>
      <c r="J9" s="1186"/>
      <c r="K9" s="1186"/>
      <c r="L9" s="1186"/>
      <c r="M9" s="1186"/>
      <c r="N9" s="1186"/>
      <c r="O9" s="1186"/>
      <c r="P9" s="1186"/>
      <c r="Q9" s="1186"/>
      <c r="R9" s="1186"/>
      <c r="S9" s="1187"/>
      <c r="T9" s="392"/>
      <c r="U9" s="393"/>
      <c r="W9" s="391"/>
      <c r="X9" s="392"/>
      <c r="Y9" s="1185">
        <f>'3_rezeptkarte'!$C$6</f>
        <v>0</v>
      </c>
      <c r="Z9" s="1186"/>
      <c r="AA9" s="1186"/>
      <c r="AB9" s="1186"/>
      <c r="AC9" s="1186"/>
      <c r="AD9" s="1186"/>
      <c r="AE9" s="1186"/>
      <c r="AF9" s="1186"/>
      <c r="AG9" s="1186"/>
      <c r="AH9" s="1186"/>
      <c r="AI9" s="1186"/>
      <c r="AJ9" s="1186"/>
      <c r="AK9" s="1186"/>
      <c r="AL9" s="1186"/>
      <c r="AM9" s="1186"/>
      <c r="AN9" s="1187"/>
      <c r="AO9" s="392"/>
      <c r="AP9" s="393"/>
      <c r="AS9" s="391"/>
      <c r="AW9" s="393"/>
    </row>
    <row r="10" spans="2:49" ht="14.4" customHeight="1">
      <c r="B10" s="391"/>
      <c r="C10" s="392"/>
      <c r="D10" s="1185"/>
      <c r="E10" s="1186"/>
      <c r="F10" s="1186"/>
      <c r="G10" s="1186"/>
      <c r="H10" s="1186"/>
      <c r="I10" s="1186"/>
      <c r="J10" s="1186"/>
      <c r="K10" s="1186"/>
      <c r="L10" s="1186"/>
      <c r="M10" s="1186"/>
      <c r="N10" s="1186"/>
      <c r="O10" s="1186"/>
      <c r="P10" s="1186"/>
      <c r="Q10" s="1186"/>
      <c r="R10" s="1186"/>
      <c r="S10" s="1187"/>
      <c r="T10" s="392"/>
      <c r="U10" s="393"/>
      <c r="W10" s="391"/>
      <c r="X10" s="392"/>
      <c r="Y10" s="1185"/>
      <c r="Z10" s="1186"/>
      <c r="AA10" s="1186"/>
      <c r="AB10" s="1186"/>
      <c r="AC10" s="1186"/>
      <c r="AD10" s="1186"/>
      <c r="AE10" s="1186"/>
      <c r="AF10" s="1186"/>
      <c r="AG10" s="1186"/>
      <c r="AH10" s="1186"/>
      <c r="AI10" s="1186"/>
      <c r="AJ10" s="1186"/>
      <c r="AK10" s="1186"/>
      <c r="AL10" s="1186"/>
      <c r="AM10" s="1186"/>
      <c r="AN10" s="1187"/>
      <c r="AO10" s="392"/>
      <c r="AP10" s="393"/>
      <c r="AS10" s="391"/>
      <c r="AW10" s="393"/>
    </row>
    <row r="11" spans="2:49" ht="14.4" customHeight="1">
      <c r="B11" s="391"/>
      <c r="C11" s="392"/>
      <c r="D11" s="1185"/>
      <c r="E11" s="1186"/>
      <c r="F11" s="1186"/>
      <c r="G11" s="1186"/>
      <c r="H11" s="1186"/>
      <c r="I11" s="1186"/>
      <c r="J11" s="1186"/>
      <c r="K11" s="1186"/>
      <c r="L11" s="1186"/>
      <c r="M11" s="1186"/>
      <c r="N11" s="1186"/>
      <c r="O11" s="1186"/>
      <c r="P11" s="1186"/>
      <c r="Q11" s="1186"/>
      <c r="R11" s="1186"/>
      <c r="S11" s="1187"/>
      <c r="T11" s="392"/>
      <c r="U11" s="393"/>
      <c r="W11" s="391"/>
      <c r="X11" s="392"/>
      <c r="Y11" s="1185"/>
      <c r="Z11" s="1186"/>
      <c r="AA11" s="1186"/>
      <c r="AB11" s="1186"/>
      <c r="AC11" s="1186"/>
      <c r="AD11" s="1186"/>
      <c r="AE11" s="1186"/>
      <c r="AF11" s="1186"/>
      <c r="AG11" s="1186"/>
      <c r="AH11" s="1186"/>
      <c r="AI11" s="1186"/>
      <c r="AJ11" s="1186"/>
      <c r="AK11" s="1186"/>
      <c r="AL11" s="1186"/>
      <c r="AM11" s="1186"/>
      <c r="AN11" s="1187"/>
      <c r="AO11" s="392"/>
      <c r="AP11" s="393"/>
      <c r="AS11" s="391"/>
      <c r="AW11" s="393"/>
    </row>
    <row r="12" spans="2:49" ht="14.4" customHeight="1">
      <c r="B12" s="391"/>
      <c r="C12" s="392"/>
      <c r="D12" s="1159" t="s">
        <v>854</v>
      </c>
      <c r="E12" s="1160"/>
      <c r="F12" s="1160"/>
      <c r="G12" s="1160"/>
      <c r="H12" s="1160"/>
      <c r="I12" s="1160"/>
      <c r="J12" s="1160"/>
      <c r="K12" s="1160"/>
      <c r="L12" s="1160"/>
      <c r="M12" s="1160"/>
      <c r="N12" s="1160"/>
      <c r="O12" s="1160"/>
      <c r="P12" s="1160"/>
      <c r="Q12" s="1160"/>
      <c r="R12" s="1160"/>
      <c r="S12" s="1161"/>
      <c r="T12" s="392"/>
      <c r="U12" s="393"/>
      <c r="W12" s="391"/>
      <c r="X12" s="392"/>
      <c r="Y12" s="1159" t="str">
        <f>IF(ISBLANK($D$12),"",$D$12)</f>
        <v>&lt;text1&gt;</v>
      </c>
      <c r="Z12" s="1160"/>
      <c r="AA12" s="1160"/>
      <c r="AB12" s="1160"/>
      <c r="AC12" s="1160"/>
      <c r="AD12" s="1160"/>
      <c r="AE12" s="1160"/>
      <c r="AF12" s="1160"/>
      <c r="AG12" s="1160"/>
      <c r="AH12" s="1160"/>
      <c r="AI12" s="1160"/>
      <c r="AJ12" s="1160"/>
      <c r="AK12" s="1160"/>
      <c r="AL12" s="1160"/>
      <c r="AM12" s="1160"/>
      <c r="AN12" s="1161"/>
      <c r="AO12" s="392"/>
      <c r="AP12" s="393"/>
      <c r="AS12" s="391"/>
      <c r="AW12" s="393"/>
    </row>
    <row r="13" spans="2:49" ht="16.2">
      <c r="B13" s="391"/>
      <c r="C13" s="392"/>
      <c r="D13" s="1159" t="s">
        <v>855</v>
      </c>
      <c r="E13" s="1160"/>
      <c r="F13" s="1160"/>
      <c r="G13" s="1160"/>
      <c r="H13" s="1160"/>
      <c r="I13" s="1160"/>
      <c r="J13" s="1160"/>
      <c r="K13" s="1160"/>
      <c r="L13" s="1160"/>
      <c r="M13" s="1160"/>
      <c r="N13" s="1160"/>
      <c r="O13" s="1160"/>
      <c r="P13" s="1160"/>
      <c r="Q13" s="1160"/>
      <c r="R13" s="1160"/>
      <c r="S13" s="1161"/>
      <c r="T13" s="392"/>
      <c r="U13" s="393"/>
      <c r="W13" s="391"/>
      <c r="X13" s="392"/>
      <c r="Y13" s="1159" t="str">
        <f>IF(ISBLANK($D$13),"",$D$13)</f>
        <v>&lt;text2&gt;</v>
      </c>
      <c r="Z13" s="1160"/>
      <c r="AA13" s="1160"/>
      <c r="AB13" s="1160"/>
      <c r="AC13" s="1160"/>
      <c r="AD13" s="1160"/>
      <c r="AE13" s="1160"/>
      <c r="AF13" s="1160"/>
      <c r="AG13" s="1160"/>
      <c r="AH13" s="1160"/>
      <c r="AI13" s="1160"/>
      <c r="AJ13" s="1160"/>
      <c r="AK13" s="1160"/>
      <c r="AL13" s="1160"/>
      <c r="AM13" s="1160"/>
      <c r="AN13" s="1161"/>
      <c r="AO13" s="392"/>
      <c r="AP13" s="393"/>
      <c r="AS13" s="391"/>
      <c r="AW13" s="393"/>
    </row>
    <row r="14" spans="2:49" ht="14.4" customHeight="1">
      <c r="B14" s="391"/>
      <c r="C14" s="392"/>
      <c r="D14" s="1162" t="str">
        <f>CONCATENATE('7_verkostungsbogen'!$AV$13,'7_verkostungsbogen'!$G$15)</f>
        <v xml:space="preserve">Zutaten: Brauwasser, Hopfen (), bitte wählen Hefe </v>
      </c>
      <c r="E14" s="1163"/>
      <c r="F14" s="1163"/>
      <c r="G14" s="1163"/>
      <c r="H14" s="1163"/>
      <c r="I14" s="1163"/>
      <c r="J14" s="1163"/>
      <c r="K14" s="1163"/>
      <c r="L14" s="1163"/>
      <c r="M14" s="1163"/>
      <c r="N14" s="1163"/>
      <c r="O14" s="1163"/>
      <c r="P14" s="1163"/>
      <c r="Q14" s="463"/>
      <c r="R14" s="463"/>
      <c r="S14" s="464"/>
      <c r="T14" s="392"/>
      <c r="U14" s="393"/>
      <c r="W14" s="391"/>
      <c r="X14" s="392"/>
      <c r="Y14" s="1162" t="str">
        <f>CONCATENATE('7_verkostungsbogen'!$AV$13,'7_verkostungsbogen'!$G$15)</f>
        <v xml:space="preserve">Zutaten: Brauwasser, Hopfen (), bitte wählen Hefe </v>
      </c>
      <c r="Z14" s="1163"/>
      <c r="AA14" s="1163"/>
      <c r="AB14" s="1163"/>
      <c r="AC14" s="1163"/>
      <c r="AD14" s="1163"/>
      <c r="AE14" s="1163"/>
      <c r="AF14" s="1163"/>
      <c r="AG14" s="1163"/>
      <c r="AH14" s="1163"/>
      <c r="AI14" s="1163"/>
      <c r="AJ14" s="1163"/>
      <c r="AK14" s="1163"/>
      <c r="AL14" s="463"/>
      <c r="AM14" s="463"/>
      <c r="AN14" s="464"/>
      <c r="AO14" s="392"/>
      <c r="AP14" s="393"/>
      <c r="AS14" s="391"/>
      <c r="AW14" s="393"/>
    </row>
    <row r="15" spans="2:49" ht="14.4" customHeight="1">
      <c r="B15" s="391"/>
      <c r="C15" s="392"/>
      <c r="D15" s="1162"/>
      <c r="E15" s="1163"/>
      <c r="F15" s="1163"/>
      <c r="G15" s="1163"/>
      <c r="H15" s="1163"/>
      <c r="I15" s="1163"/>
      <c r="J15" s="1163"/>
      <c r="K15" s="1163"/>
      <c r="L15" s="1163"/>
      <c r="M15" s="1163"/>
      <c r="N15" s="1163"/>
      <c r="O15" s="1163"/>
      <c r="P15" s="1163"/>
      <c r="Q15" s="465"/>
      <c r="R15" s="465"/>
      <c r="S15" s="466"/>
      <c r="T15" s="392"/>
      <c r="U15" s="393"/>
      <c r="W15" s="391"/>
      <c r="X15" s="392"/>
      <c r="Y15" s="1162"/>
      <c r="Z15" s="1163"/>
      <c r="AA15" s="1163"/>
      <c r="AB15" s="1163"/>
      <c r="AC15" s="1163"/>
      <c r="AD15" s="1163"/>
      <c r="AE15" s="1163"/>
      <c r="AF15" s="1163"/>
      <c r="AG15" s="1163"/>
      <c r="AH15" s="1163"/>
      <c r="AI15" s="1163"/>
      <c r="AJ15" s="1163"/>
      <c r="AK15" s="1163"/>
      <c r="AL15" s="465"/>
      <c r="AM15" s="465"/>
      <c r="AN15" s="466"/>
      <c r="AO15" s="392"/>
      <c r="AP15" s="393"/>
      <c r="AS15" s="391"/>
      <c r="AW15" s="393"/>
    </row>
    <row r="16" spans="2:49">
      <c r="B16" s="391"/>
      <c r="C16" s="392"/>
      <c r="D16" s="1162"/>
      <c r="E16" s="1163"/>
      <c r="F16" s="1163"/>
      <c r="G16" s="1163"/>
      <c r="H16" s="1163"/>
      <c r="I16" s="1163"/>
      <c r="J16" s="1163"/>
      <c r="K16" s="1163"/>
      <c r="L16" s="1163"/>
      <c r="M16" s="1163"/>
      <c r="N16" s="1163"/>
      <c r="O16" s="1163"/>
      <c r="P16" s="1163"/>
      <c r="Q16" s="465"/>
      <c r="R16" s="465"/>
      <c r="S16" s="466"/>
      <c r="T16" s="392"/>
      <c r="U16" s="393"/>
      <c r="W16" s="391"/>
      <c r="X16" s="392"/>
      <c r="Y16" s="1162"/>
      <c r="Z16" s="1163"/>
      <c r="AA16" s="1163"/>
      <c r="AB16" s="1163"/>
      <c r="AC16" s="1163"/>
      <c r="AD16" s="1163"/>
      <c r="AE16" s="1163"/>
      <c r="AF16" s="1163"/>
      <c r="AG16" s="1163"/>
      <c r="AH16" s="1163"/>
      <c r="AI16" s="1163"/>
      <c r="AJ16" s="1163"/>
      <c r="AK16" s="1163"/>
      <c r="AL16" s="465"/>
      <c r="AM16" s="465"/>
      <c r="AN16" s="466"/>
      <c r="AO16" s="392"/>
      <c r="AP16" s="393"/>
      <c r="AS16" s="391"/>
      <c r="AW16" s="393"/>
    </row>
    <row r="17" spans="2:49">
      <c r="B17" s="391"/>
      <c r="C17" s="392"/>
      <c r="D17" s="1164"/>
      <c r="E17" s="1165"/>
      <c r="F17" s="1165"/>
      <c r="G17" s="1165"/>
      <c r="H17" s="1165"/>
      <c r="I17" s="1165"/>
      <c r="J17" s="1165"/>
      <c r="K17" s="1165"/>
      <c r="L17" s="1165"/>
      <c r="M17" s="1165"/>
      <c r="N17" s="1165"/>
      <c r="O17" s="1165"/>
      <c r="P17" s="1165"/>
      <c r="Q17" s="467"/>
      <c r="R17" s="467"/>
      <c r="S17" s="468"/>
      <c r="T17" s="392"/>
      <c r="U17" s="393"/>
      <c r="W17" s="391"/>
      <c r="X17" s="392"/>
      <c r="Y17" s="1164"/>
      <c r="Z17" s="1165"/>
      <c r="AA17" s="1165"/>
      <c r="AB17" s="1165"/>
      <c r="AC17" s="1165"/>
      <c r="AD17" s="1165"/>
      <c r="AE17" s="1165"/>
      <c r="AF17" s="1165"/>
      <c r="AG17" s="1165"/>
      <c r="AH17" s="1165"/>
      <c r="AI17" s="1165"/>
      <c r="AJ17" s="1165"/>
      <c r="AK17" s="1165"/>
      <c r="AL17" s="467"/>
      <c r="AM17" s="467"/>
      <c r="AN17" s="468"/>
      <c r="AO17" s="392"/>
      <c r="AP17" s="393"/>
      <c r="AS17" s="391"/>
      <c r="AW17" s="393"/>
    </row>
    <row r="18" spans="2:49" ht="3.6" customHeight="1">
      <c r="B18" s="391"/>
      <c r="C18" s="392"/>
      <c r="D18" s="392"/>
      <c r="E18" s="392"/>
      <c r="F18" s="392"/>
      <c r="G18" s="392"/>
      <c r="H18" s="392"/>
      <c r="I18" s="392"/>
      <c r="J18" s="392"/>
      <c r="K18" s="392"/>
      <c r="L18" s="392"/>
      <c r="M18" s="392"/>
      <c r="N18" s="392"/>
      <c r="O18" s="392"/>
      <c r="P18" s="392"/>
      <c r="Q18" s="392"/>
      <c r="R18" s="392"/>
      <c r="S18" s="392"/>
      <c r="T18" s="392"/>
      <c r="U18" s="393"/>
      <c r="W18" s="391"/>
      <c r="X18" s="392"/>
      <c r="Y18" s="392"/>
      <c r="Z18" s="392"/>
      <c r="AA18" s="392"/>
      <c r="AB18" s="392"/>
      <c r="AC18" s="392"/>
      <c r="AD18" s="392"/>
      <c r="AE18" s="392"/>
      <c r="AF18" s="392"/>
      <c r="AG18" s="392"/>
      <c r="AH18" s="392"/>
      <c r="AI18" s="392"/>
      <c r="AJ18" s="392"/>
      <c r="AK18" s="392"/>
      <c r="AL18" s="392"/>
      <c r="AM18" s="392"/>
      <c r="AN18" s="392"/>
      <c r="AO18" s="392"/>
      <c r="AP18" s="393"/>
      <c r="AS18" s="391"/>
      <c r="AW18" s="393"/>
    </row>
    <row r="19" spans="2:49" ht="3.6" customHeight="1">
      <c r="B19" s="396"/>
      <c r="C19" s="394"/>
      <c r="D19" s="394"/>
      <c r="E19" s="394"/>
      <c r="F19" s="394"/>
      <c r="G19" s="394"/>
      <c r="H19" s="394"/>
      <c r="I19" s="394"/>
      <c r="J19" s="394"/>
      <c r="K19" s="394"/>
      <c r="L19" s="394"/>
      <c r="M19" s="394"/>
      <c r="N19" s="394"/>
      <c r="O19" s="394"/>
      <c r="P19" s="394"/>
      <c r="Q19" s="394"/>
      <c r="R19" s="394"/>
      <c r="S19" s="394"/>
      <c r="T19" s="394"/>
      <c r="U19" s="395"/>
      <c r="W19" s="396"/>
      <c r="X19" s="394"/>
      <c r="Y19" s="394"/>
      <c r="Z19" s="394"/>
      <c r="AA19" s="394"/>
      <c r="AB19" s="394"/>
      <c r="AC19" s="394"/>
      <c r="AD19" s="394"/>
      <c r="AE19" s="394"/>
      <c r="AF19" s="394"/>
      <c r="AG19" s="394"/>
      <c r="AH19" s="394"/>
      <c r="AI19" s="394"/>
      <c r="AJ19" s="394"/>
      <c r="AK19" s="394"/>
      <c r="AL19" s="394"/>
      <c r="AM19" s="394"/>
      <c r="AN19" s="394"/>
      <c r="AO19" s="394"/>
      <c r="AP19" s="395"/>
      <c r="AS19" s="391"/>
      <c r="AW19" s="393"/>
    </row>
    <row r="20" spans="2:49" ht="3" customHeight="1">
      <c r="AS20" s="391"/>
      <c r="AW20" s="393"/>
    </row>
    <row r="21" spans="2:49" ht="3.6" customHeight="1">
      <c r="B21" s="388"/>
      <c r="C21" s="389"/>
      <c r="D21" s="389"/>
      <c r="E21" s="389"/>
      <c r="F21" s="389"/>
      <c r="G21" s="389"/>
      <c r="H21" s="389"/>
      <c r="I21" s="389"/>
      <c r="J21" s="389"/>
      <c r="K21" s="389"/>
      <c r="L21" s="389"/>
      <c r="M21" s="389"/>
      <c r="N21" s="389"/>
      <c r="O21" s="389"/>
      <c r="P21" s="389"/>
      <c r="Q21" s="389"/>
      <c r="R21" s="389"/>
      <c r="S21" s="389"/>
      <c r="T21" s="389"/>
      <c r="U21" s="390"/>
      <c r="W21" s="388"/>
      <c r="X21" s="389"/>
      <c r="Y21" s="389"/>
      <c r="Z21" s="389"/>
      <c r="AA21" s="389"/>
      <c r="AB21" s="389"/>
      <c r="AC21" s="389"/>
      <c r="AD21" s="389"/>
      <c r="AE21" s="389"/>
      <c r="AF21" s="389"/>
      <c r="AG21" s="389"/>
      <c r="AH21" s="389"/>
      <c r="AI21" s="389"/>
      <c r="AJ21" s="389"/>
      <c r="AK21" s="389"/>
      <c r="AL21" s="389"/>
      <c r="AM21" s="389"/>
      <c r="AN21" s="389"/>
      <c r="AO21" s="389"/>
      <c r="AP21" s="390"/>
      <c r="AS21" s="391"/>
      <c r="AW21" s="393"/>
    </row>
    <row r="22" spans="2:49" ht="3.6" customHeight="1">
      <c r="B22" s="391"/>
      <c r="C22" s="392"/>
      <c r="D22" s="392"/>
      <c r="E22" s="392"/>
      <c r="F22" s="392"/>
      <c r="G22" s="392"/>
      <c r="H22" s="392"/>
      <c r="I22" s="392"/>
      <c r="J22" s="392"/>
      <c r="K22" s="392"/>
      <c r="L22" s="392"/>
      <c r="M22" s="392"/>
      <c r="N22" s="392"/>
      <c r="O22" s="392"/>
      <c r="P22" s="392"/>
      <c r="Q22" s="392"/>
      <c r="R22" s="392"/>
      <c r="S22" s="392"/>
      <c r="T22" s="392"/>
      <c r="U22" s="393"/>
      <c r="W22" s="391"/>
      <c r="X22" s="392"/>
      <c r="Y22" s="392"/>
      <c r="Z22" s="392"/>
      <c r="AA22" s="392"/>
      <c r="AB22" s="392"/>
      <c r="AC22" s="392"/>
      <c r="AD22" s="392"/>
      <c r="AE22" s="392"/>
      <c r="AF22" s="392"/>
      <c r="AG22" s="392"/>
      <c r="AH22" s="392"/>
      <c r="AI22" s="392"/>
      <c r="AJ22" s="392"/>
      <c r="AK22" s="392"/>
      <c r="AL22" s="392"/>
      <c r="AM22" s="392"/>
      <c r="AN22" s="392"/>
      <c r="AO22" s="392"/>
      <c r="AP22" s="393"/>
      <c r="AS22" s="391"/>
      <c r="AW22" s="393"/>
    </row>
    <row r="23" spans="2:49">
      <c r="B23" s="391"/>
      <c r="C23" s="392"/>
      <c r="D23" s="1179" t="str">
        <f>'4a_sud-journal'!$V$79</f>
        <v/>
      </c>
      <c r="E23" s="1180"/>
      <c r="F23" s="1180"/>
      <c r="G23" s="447"/>
      <c r="H23" s="499"/>
      <c r="I23" s="499"/>
      <c r="J23" s="499"/>
      <c r="K23" s="499"/>
      <c r="L23" s="499"/>
      <c r="M23" s="499"/>
      <c r="N23" s="499"/>
      <c r="O23" s="499"/>
      <c r="P23" s="448"/>
      <c r="Q23" s="447" t="s">
        <v>788</v>
      </c>
      <c r="R23" s="449"/>
      <c r="S23" s="450"/>
      <c r="T23" s="392"/>
      <c r="U23" s="393"/>
      <c r="W23" s="391"/>
      <c r="X23" s="392"/>
      <c r="Y23" s="1179" t="str">
        <f>'4a_sud-journal'!$V$79</f>
        <v/>
      </c>
      <c r="Z23" s="1180"/>
      <c r="AA23" s="1180"/>
      <c r="AB23" s="447"/>
      <c r="AC23" s="499"/>
      <c r="AD23" s="499"/>
      <c r="AE23" s="499"/>
      <c r="AF23" s="499"/>
      <c r="AG23" s="499"/>
      <c r="AH23" s="499"/>
      <c r="AI23" s="499"/>
      <c r="AJ23" s="448"/>
      <c r="AK23" s="448"/>
      <c r="AL23" s="447" t="s">
        <v>788</v>
      </c>
      <c r="AM23" s="449"/>
      <c r="AN23" s="450"/>
      <c r="AO23" s="392"/>
      <c r="AP23" s="393"/>
      <c r="AS23" s="391"/>
      <c r="AW23" s="393"/>
    </row>
    <row r="24" spans="2:49">
      <c r="B24" s="391"/>
      <c r="C24" s="392"/>
      <c r="D24" s="1181" t="str">
        <f>'5_gaerdiagramm'!$F$38</f>
        <v/>
      </c>
      <c r="E24" s="1182"/>
      <c r="F24" s="1182"/>
      <c r="G24" s="1182"/>
      <c r="H24" s="465"/>
      <c r="I24" s="465"/>
      <c r="J24" s="465"/>
      <c r="K24" s="465"/>
      <c r="L24" s="465"/>
      <c r="M24" s="465"/>
      <c r="N24" s="465"/>
      <c r="O24" s="465"/>
      <c r="P24" s="452"/>
      <c r="Q24" s="1171">
        <f>'1_vorbereitung'!$F$6</f>
        <v>0</v>
      </c>
      <c r="R24" s="1171"/>
      <c r="S24" s="1172"/>
      <c r="T24" s="392"/>
      <c r="U24" s="393"/>
      <c r="W24" s="391"/>
      <c r="X24" s="392"/>
      <c r="Y24" s="1181" t="str">
        <f>'5_gaerdiagramm'!$F$38</f>
        <v/>
      </c>
      <c r="Z24" s="1182"/>
      <c r="AA24" s="1182"/>
      <c r="AB24" s="1182"/>
      <c r="AC24" s="465"/>
      <c r="AD24" s="465"/>
      <c r="AE24" s="465"/>
      <c r="AF24" s="465"/>
      <c r="AG24" s="465"/>
      <c r="AH24" s="465"/>
      <c r="AI24" s="465"/>
      <c r="AJ24" s="451"/>
      <c r="AK24" s="452"/>
      <c r="AL24" s="1171">
        <f>'1_vorbereitung'!$F$6</f>
        <v>0</v>
      </c>
      <c r="AM24" s="1171"/>
      <c r="AN24" s="1172"/>
      <c r="AO24" s="392"/>
      <c r="AP24" s="393"/>
      <c r="AS24" s="391"/>
      <c r="AW24" s="393"/>
    </row>
    <row r="25" spans="2:49">
      <c r="B25" s="391"/>
      <c r="C25" s="392"/>
      <c r="D25" s="1173" t="str">
        <f>'3_rezeptkarte'!$T$8</f>
        <v/>
      </c>
      <c r="E25" s="1174"/>
      <c r="F25" s="1174"/>
      <c r="G25" s="1174"/>
      <c r="H25" s="465"/>
      <c r="I25" s="465"/>
      <c r="J25" s="465"/>
      <c r="K25" s="465"/>
      <c r="L25" s="465"/>
      <c r="M25" s="465"/>
      <c r="N25" s="465"/>
      <c r="O25" s="465"/>
      <c r="P25" s="453"/>
      <c r="Q25" s="460" t="s">
        <v>834</v>
      </c>
      <c r="R25" s="461"/>
      <c r="S25" s="462"/>
      <c r="T25" s="392"/>
      <c r="U25" s="393"/>
      <c r="W25" s="391"/>
      <c r="X25" s="392"/>
      <c r="Y25" s="1173" t="str">
        <f>'3_rezeptkarte'!$T$8</f>
        <v/>
      </c>
      <c r="Z25" s="1174"/>
      <c r="AA25" s="1174"/>
      <c r="AB25" s="1174"/>
      <c r="AC25" s="465"/>
      <c r="AD25" s="465"/>
      <c r="AE25" s="465"/>
      <c r="AF25" s="465"/>
      <c r="AG25" s="465"/>
      <c r="AH25" s="465"/>
      <c r="AI25" s="465"/>
      <c r="AJ25" s="451"/>
      <c r="AK25" s="453"/>
      <c r="AL25" s="460" t="s">
        <v>834</v>
      </c>
      <c r="AM25" s="461"/>
      <c r="AN25" s="462"/>
      <c r="AO25" s="392"/>
      <c r="AP25" s="393"/>
      <c r="AS25" s="391"/>
      <c r="AW25" s="393"/>
    </row>
    <row r="26" spans="2:49">
      <c r="B26" s="391"/>
      <c r="C26" s="392"/>
      <c r="D26" s="1175" t="str">
        <f>'3_rezeptkarte'!$AA$8</f>
        <v/>
      </c>
      <c r="E26" s="1176"/>
      <c r="F26" s="1176"/>
      <c r="G26" s="454"/>
      <c r="H26" s="465"/>
      <c r="I26" s="465"/>
      <c r="J26" s="465"/>
      <c r="K26" s="465"/>
      <c r="L26" s="465"/>
      <c r="M26" s="465"/>
      <c r="N26" s="465"/>
      <c r="O26" s="465"/>
      <c r="P26" s="455"/>
      <c r="Q26" s="1177">
        <f>$Q$7</f>
        <v>43466</v>
      </c>
      <c r="R26" s="1177"/>
      <c r="S26" s="1178"/>
      <c r="T26" s="392"/>
      <c r="U26" s="393"/>
      <c r="W26" s="391"/>
      <c r="X26" s="392"/>
      <c r="Y26" s="1175" t="str">
        <f>'3_rezeptkarte'!$AA$8</f>
        <v/>
      </c>
      <c r="Z26" s="1176"/>
      <c r="AA26" s="1176"/>
      <c r="AB26" s="454"/>
      <c r="AC26" s="465"/>
      <c r="AD26" s="465"/>
      <c r="AE26" s="465"/>
      <c r="AF26" s="465"/>
      <c r="AG26" s="465"/>
      <c r="AH26" s="465"/>
      <c r="AI26" s="465"/>
      <c r="AJ26" s="451"/>
      <c r="AK26" s="455"/>
      <c r="AL26" s="1177">
        <f>$Q$7</f>
        <v>43466</v>
      </c>
      <c r="AM26" s="1177"/>
      <c r="AN26" s="1178"/>
      <c r="AO26" s="392"/>
      <c r="AP26" s="393"/>
      <c r="AS26" s="391"/>
      <c r="AW26" s="393"/>
    </row>
    <row r="27" spans="2:49">
      <c r="B27" s="391"/>
      <c r="C27" s="392"/>
      <c r="D27" s="456"/>
      <c r="E27" s="457"/>
      <c r="F27" s="457"/>
      <c r="G27" s="458"/>
      <c r="H27" s="465"/>
      <c r="I27" s="465"/>
      <c r="J27" s="465"/>
      <c r="K27" s="465"/>
      <c r="L27" s="465"/>
      <c r="M27" s="465"/>
      <c r="N27" s="465"/>
      <c r="O27" s="465"/>
      <c r="P27" s="459"/>
      <c r="Q27" s="1166"/>
      <c r="R27" s="1166"/>
      <c r="S27" s="1167"/>
      <c r="T27" s="392"/>
      <c r="U27" s="393"/>
      <c r="W27" s="391"/>
      <c r="X27" s="392"/>
      <c r="Y27" s="456"/>
      <c r="Z27" s="457"/>
      <c r="AA27" s="457"/>
      <c r="AB27" s="458"/>
      <c r="AC27" s="465"/>
      <c r="AD27" s="465"/>
      <c r="AE27" s="465"/>
      <c r="AF27" s="465"/>
      <c r="AG27" s="465"/>
      <c r="AH27" s="465"/>
      <c r="AI27" s="465"/>
      <c r="AJ27" s="451"/>
      <c r="AK27" s="459"/>
      <c r="AL27" s="1166"/>
      <c r="AM27" s="1166"/>
      <c r="AN27" s="1167"/>
      <c r="AO27" s="392"/>
      <c r="AP27" s="393"/>
      <c r="AS27" s="391"/>
      <c r="AW27" s="393"/>
    </row>
    <row r="28" spans="2:49" ht="14.4" customHeight="1">
      <c r="B28" s="391"/>
      <c r="C28" s="392"/>
      <c r="D28" s="1168">
        <f>'3_rezeptkarte'!$C$6</f>
        <v>0</v>
      </c>
      <c r="E28" s="1169"/>
      <c r="F28" s="1169"/>
      <c r="G28" s="1169"/>
      <c r="H28" s="1169"/>
      <c r="I28" s="1169"/>
      <c r="J28" s="1169"/>
      <c r="K28" s="1169"/>
      <c r="L28" s="1169"/>
      <c r="M28" s="1169"/>
      <c r="N28" s="1169"/>
      <c r="O28" s="1169"/>
      <c r="P28" s="1169"/>
      <c r="Q28" s="1169"/>
      <c r="R28" s="1169"/>
      <c r="S28" s="1170"/>
      <c r="T28" s="392"/>
      <c r="U28" s="393"/>
      <c r="W28" s="391"/>
      <c r="X28" s="392"/>
      <c r="Y28" s="1168">
        <f>'3_rezeptkarte'!$C$6</f>
        <v>0</v>
      </c>
      <c r="Z28" s="1169"/>
      <c r="AA28" s="1169"/>
      <c r="AB28" s="1169"/>
      <c r="AC28" s="1169"/>
      <c r="AD28" s="1169"/>
      <c r="AE28" s="1169"/>
      <c r="AF28" s="1169"/>
      <c r="AG28" s="1169"/>
      <c r="AH28" s="1169"/>
      <c r="AI28" s="1169"/>
      <c r="AJ28" s="1169"/>
      <c r="AK28" s="1169"/>
      <c r="AL28" s="1169"/>
      <c r="AM28" s="1169"/>
      <c r="AN28" s="1170"/>
      <c r="AO28" s="392"/>
      <c r="AP28" s="393"/>
      <c r="AS28" s="391"/>
      <c r="AW28" s="393"/>
    </row>
    <row r="29" spans="2:49" ht="14.4" customHeight="1">
      <c r="B29" s="391"/>
      <c r="C29" s="392"/>
      <c r="D29" s="1168"/>
      <c r="E29" s="1169"/>
      <c r="F29" s="1169"/>
      <c r="G29" s="1169"/>
      <c r="H29" s="1169"/>
      <c r="I29" s="1169"/>
      <c r="J29" s="1169"/>
      <c r="K29" s="1169"/>
      <c r="L29" s="1169"/>
      <c r="M29" s="1169"/>
      <c r="N29" s="1169"/>
      <c r="O29" s="1169"/>
      <c r="P29" s="1169"/>
      <c r="Q29" s="1169"/>
      <c r="R29" s="1169"/>
      <c r="S29" s="1170"/>
      <c r="T29" s="392"/>
      <c r="U29" s="393"/>
      <c r="W29" s="391"/>
      <c r="X29" s="392"/>
      <c r="Y29" s="1168"/>
      <c r="Z29" s="1169"/>
      <c r="AA29" s="1169"/>
      <c r="AB29" s="1169"/>
      <c r="AC29" s="1169"/>
      <c r="AD29" s="1169"/>
      <c r="AE29" s="1169"/>
      <c r="AF29" s="1169"/>
      <c r="AG29" s="1169"/>
      <c r="AH29" s="1169"/>
      <c r="AI29" s="1169"/>
      <c r="AJ29" s="1169"/>
      <c r="AK29" s="1169"/>
      <c r="AL29" s="1169"/>
      <c r="AM29" s="1169"/>
      <c r="AN29" s="1170"/>
      <c r="AO29" s="392"/>
      <c r="AP29" s="393"/>
      <c r="AS29" s="391"/>
      <c r="AW29" s="393"/>
    </row>
    <row r="30" spans="2:49" ht="14.4" customHeight="1">
      <c r="B30" s="391"/>
      <c r="C30" s="392"/>
      <c r="D30" s="1168"/>
      <c r="E30" s="1169"/>
      <c r="F30" s="1169"/>
      <c r="G30" s="1169"/>
      <c r="H30" s="1169"/>
      <c r="I30" s="1169"/>
      <c r="J30" s="1169"/>
      <c r="K30" s="1169"/>
      <c r="L30" s="1169"/>
      <c r="M30" s="1169"/>
      <c r="N30" s="1169"/>
      <c r="O30" s="1169"/>
      <c r="P30" s="1169"/>
      <c r="Q30" s="1169"/>
      <c r="R30" s="1169"/>
      <c r="S30" s="1170"/>
      <c r="T30" s="392"/>
      <c r="U30" s="393"/>
      <c r="W30" s="391"/>
      <c r="X30" s="392"/>
      <c r="Y30" s="1168"/>
      <c r="Z30" s="1169"/>
      <c r="AA30" s="1169"/>
      <c r="AB30" s="1169"/>
      <c r="AC30" s="1169"/>
      <c r="AD30" s="1169"/>
      <c r="AE30" s="1169"/>
      <c r="AF30" s="1169"/>
      <c r="AG30" s="1169"/>
      <c r="AH30" s="1169"/>
      <c r="AI30" s="1169"/>
      <c r="AJ30" s="1169"/>
      <c r="AK30" s="1169"/>
      <c r="AL30" s="1169"/>
      <c r="AM30" s="1169"/>
      <c r="AN30" s="1170"/>
      <c r="AO30" s="392"/>
      <c r="AP30" s="393"/>
      <c r="AS30" s="391"/>
      <c r="AW30" s="393"/>
    </row>
    <row r="31" spans="2:49" ht="14.4" customHeight="1">
      <c r="B31" s="391"/>
      <c r="C31" s="392"/>
      <c r="D31" s="1159" t="str">
        <f>IF(ISBLANK($D$12),"",$D$12)</f>
        <v>&lt;text1&gt;</v>
      </c>
      <c r="E31" s="1160"/>
      <c r="F31" s="1160"/>
      <c r="G31" s="1160"/>
      <c r="H31" s="1160"/>
      <c r="I31" s="1160"/>
      <c r="J31" s="1160"/>
      <c r="K31" s="1160"/>
      <c r="L31" s="1160"/>
      <c r="M31" s="1160"/>
      <c r="N31" s="1160"/>
      <c r="O31" s="1160"/>
      <c r="P31" s="1160"/>
      <c r="Q31" s="1160"/>
      <c r="R31" s="1160"/>
      <c r="S31" s="1161"/>
      <c r="T31" s="392"/>
      <c r="U31" s="393"/>
      <c r="W31" s="391"/>
      <c r="X31" s="392"/>
      <c r="Y31" s="1159" t="str">
        <f>IF(ISBLANK($D$12),"",$D$12)</f>
        <v>&lt;text1&gt;</v>
      </c>
      <c r="Z31" s="1160"/>
      <c r="AA31" s="1160"/>
      <c r="AB31" s="1160"/>
      <c r="AC31" s="1160"/>
      <c r="AD31" s="1160"/>
      <c r="AE31" s="1160"/>
      <c r="AF31" s="1160"/>
      <c r="AG31" s="1160"/>
      <c r="AH31" s="1160"/>
      <c r="AI31" s="1160"/>
      <c r="AJ31" s="1160"/>
      <c r="AK31" s="1160"/>
      <c r="AL31" s="1160"/>
      <c r="AM31" s="1160"/>
      <c r="AN31" s="1161"/>
      <c r="AO31" s="392"/>
      <c r="AP31" s="393"/>
      <c r="AS31" s="391"/>
      <c r="AW31" s="393"/>
    </row>
    <row r="32" spans="2:49" ht="16.2">
      <c r="B32" s="391"/>
      <c r="C32" s="392"/>
      <c r="D32" s="1159" t="str">
        <f>IF(ISBLANK($D$13),"",$D$13)</f>
        <v>&lt;text2&gt;</v>
      </c>
      <c r="E32" s="1160"/>
      <c r="F32" s="1160"/>
      <c r="G32" s="1160"/>
      <c r="H32" s="1160"/>
      <c r="I32" s="1160"/>
      <c r="J32" s="1160"/>
      <c r="K32" s="1160"/>
      <c r="L32" s="1160"/>
      <c r="M32" s="1160"/>
      <c r="N32" s="1160"/>
      <c r="O32" s="1160"/>
      <c r="P32" s="1160"/>
      <c r="Q32" s="1160"/>
      <c r="R32" s="1160"/>
      <c r="S32" s="1161"/>
      <c r="T32" s="392"/>
      <c r="U32" s="393"/>
      <c r="W32" s="391"/>
      <c r="X32" s="392"/>
      <c r="Y32" s="1159" t="str">
        <f>IF(ISBLANK($D$13),"",$D$13)</f>
        <v>&lt;text2&gt;</v>
      </c>
      <c r="Z32" s="1160"/>
      <c r="AA32" s="1160"/>
      <c r="AB32" s="1160"/>
      <c r="AC32" s="1160"/>
      <c r="AD32" s="1160"/>
      <c r="AE32" s="1160"/>
      <c r="AF32" s="1160"/>
      <c r="AG32" s="1160"/>
      <c r="AH32" s="1160"/>
      <c r="AI32" s="1160"/>
      <c r="AJ32" s="1160"/>
      <c r="AK32" s="1160"/>
      <c r="AL32" s="1160"/>
      <c r="AM32" s="1160"/>
      <c r="AN32" s="1161"/>
      <c r="AO32" s="392"/>
      <c r="AP32" s="393"/>
      <c r="AS32" s="391"/>
      <c r="AW32" s="393"/>
    </row>
    <row r="33" spans="2:49" ht="14.4" customHeight="1">
      <c r="B33" s="391"/>
      <c r="C33" s="392"/>
      <c r="D33" s="1162" t="str">
        <f>CONCATENATE('7_verkostungsbogen'!$AV$13,'7_verkostungsbogen'!$G$15)</f>
        <v xml:space="preserve">Zutaten: Brauwasser, Hopfen (), bitte wählen Hefe </v>
      </c>
      <c r="E33" s="1163"/>
      <c r="F33" s="1163"/>
      <c r="G33" s="1163"/>
      <c r="H33" s="1163"/>
      <c r="I33" s="1163"/>
      <c r="J33" s="1163"/>
      <c r="K33" s="1163"/>
      <c r="L33" s="1163"/>
      <c r="M33" s="1163"/>
      <c r="N33" s="1163"/>
      <c r="O33" s="1163"/>
      <c r="P33" s="1163"/>
      <c r="Q33" s="463"/>
      <c r="R33" s="463"/>
      <c r="S33" s="464"/>
      <c r="T33" s="392"/>
      <c r="U33" s="393"/>
      <c r="W33" s="391"/>
      <c r="X33" s="392"/>
      <c r="Y33" s="1162" t="str">
        <f>CONCATENATE('7_verkostungsbogen'!$AV$13,'7_verkostungsbogen'!$G$15)</f>
        <v xml:space="preserve">Zutaten: Brauwasser, Hopfen (), bitte wählen Hefe </v>
      </c>
      <c r="Z33" s="1163"/>
      <c r="AA33" s="1163"/>
      <c r="AB33" s="1163"/>
      <c r="AC33" s="1163"/>
      <c r="AD33" s="1163"/>
      <c r="AE33" s="1163"/>
      <c r="AF33" s="1163"/>
      <c r="AG33" s="1163"/>
      <c r="AH33" s="1163"/>
      <c r="AI33" s="1163"/>
      <c r="AJ33" s="1163"/>
      <c r="AK33" s="1163"/>
      <c r="AL33" s="463"/>
      <c r="AM33" s="463"/>
      <c r="AN33" s="464"/>
      <c r="AO33" s="392"/>
      <c r="AP33" s="393"/>
      <c r="AS33" s="391"/>
      <c r="AW33" s="393"/>
    </row>
    <row r="34" spans="2:49" ht="14.4" customHeight="1">
      <c r="B34" s="391"/>
      <c r="C34" s="392"/>
      <c r="D34" s="1162"/>
      <c r="E34" s="1163"/>
      <c r="F34" s="1163"/>
      <c r="G34" s="1163"/>
      <c r="H34" s="1163"/>
      <c r="I34" s="1163"/>
      <c r="J34" s="1163"/>
      <c r="K34" s="1163"/>
      <c r="L34" s="1163"/>
      <c r="M34" s="1163"/>
      <c r="N34" s="1163"/>
      <c r="O34" s="1163"/>
      <c r="P34" s="1163"/>
      <c r="Q34" s="465"/>
      <c r="R34" s="465"/>
      <c r="S34" s="466"/>
      <c r="T34" s="392"/>
      <c r="U34" s="393"/>
      <c r="W34" s="391"/>
      <c r="X34" s="392"/>
      <c r="Y34" s="1162"/>
      <c r="Z34" s="1163"/>
      <c r="AA34" s="1163"/>
      <c r="AB34" s="1163"/>
      <c r="AC34" s="1163"/>
      <c r="AD34" s="1163"/>
      <c r="AE34" s="1163"/>
      <c r="AF34" s="1163"/>
      <c r="AG34" s="1163"/>
      <c r="AH34" s="1163"/>
      <c r="AI34" s="1163"/>
      <c r="AJ34" s="1163"/>
      <c r="AK34" s="1163"/>
      <c r="AL34" s="465"/>
      <c r="AM34" s="465"/>
      <c r="AN34" s="466"/>
      <c r="AO34" s="392"/>
      <c r="AP34" s="393"/>
      <c r="AS34" s="396"/>
      <c r="AT34" s="394"/>
      <c r="AU34" s="394"/>
      <c r="AV34" s="394"/>
      <c r="AW34" s="395"/>
    </row>
    <row r="35" spans="2:49">
      <c r="B35" s="391"/>
      <c r="C35" s="392"/>
      <c r="D35" s="1162"/>
      <c r="E35" s="1163"/>
      <c r="F35" s="1163"/>
      <c r="G35" s="1163"/>
      <c r="H35" s="1163"/>
      <c r="I35" s="1163"/>
      <c r="J35" s="1163"/>
      <c r="K35" s="1163"/>
      <c r="L35" s="1163"/>
      <c r="M35" s="1163"/>
      <c r="N35" s="1163"/>
      <c r="O35" s="1163"/>
      <c r="P35" s="1163"/>
      <c r="Q35" s="465"/>
      <c r="R35" s="465"/>
      <c r="S35" s="466"/>
      <c r="T35" s="392"/>
      <c r="U35" s="393"/>
      <c r="W35" s="391"/>
      <c r="X35" s="392"/>
      <c r="Y35" s="1162"/>
      <c r="Z35" s="1163"/>
      <c r="AA35" s="1163"/>
      <c r="AB35" s="1163"/>
      <c r="AC35" s="1163"/>
      <c r="AD35" s="1163"/>
      <c r="AE35" s="1163"/>
      <c r="AF35" s="1163"/>
      <c r="AG35" s="1163"/>
      <c r="AH35" s="1163"/>
      <c r="AI35" s="1163"/>
      <c r="AJ35" s="1163"/>
      <c r="AK35" s="1163"/>
      <c r="AL35" s="465"/>
      <c r="AM35" s="465"/>
      <c r="AN35" s="466"/>
      <c r="AO35" s="392"/>
      <c r="AP35" s="393"/>
    </row>
    <row r="36" spans="2:49">
      <c r="B36" s="391"/>
      <c r="C36" s="392"/>
      <c r="D36" s="1164"/>
      <c r="E36" s="1165"/>
      <c r="F36" s="1165"/>
      <c r="G36" s="1165"/>
      <c r="H36" s="1165"/>
      <c r="I36" s="1165"/>
      <c r="J36" s="1165"/>
      <c r="K36" s="1165"/>
      <c r="L36" s="1165"/>
      <c r="M36" s="1165"/>
      <c r="N36" s="1165"/>
      <c r="O36" s="1165"/>
      <c r="P36" s="1165"/>
      <c r="Q36" s="467"/>
      <c r="R36" s="467"/>
      <c r="S36" s="468"/>
      <c r="T36" s="392"/>
      <c r="U36" s="393"/>
      <c r="W36" s="391"/>
      <c r="X36" s="392"/>
      <c r="Y36" s="1164"/>
      <c r="Z36" s="1165"/>
      <c r="AA36" s="1165"/>
      <c r="AB36" s="1165"/>
      <c r="AC36" s="1165"/>
      <c r="AD36" s="1165"/>
      <c r="AE36" s="1165"/>
      <c r="AF36" s="1165"/>
      <c r="AG36" s="1165"/>
      <c r="AH36" s="1165"/>
      <c r="AI36" s="1165"/>
      <c r="AJ36" s="1165"/>
      <c r="AK36" s="1165"/>
      <c r="AL36" s="467"/>
      <c r="AM36" s="467"/>
      <c r="AN36" s="468"/>
      <c r="AO36" s="392"/>
      <c r="AP36" s="393"/>
    </row>
    <row r="37" spans="2:49" ht="3.6" customHeight="1">
      <c r="B37" s="391"/>
      <c r="C37" s="392"/>
      <c r="D37" s="392"/>
      <c r="E37" s="392"/>
      <c r="F37" s="392"/>
      <c r="G37" s="392"/>
      <c r="H37" s="392"/>
      <c r="I37" s="392"/>
      <c r="J37" s="392"/>
      <c r="K37" s="392"/>
      <c r="L37" s="392"/>
      <c r="M37" s="392"/>
      <c r="N37" s="392"/>
      <c r="O37" s="392"/>
      <c r="P37" s="392"/>
      <c r="Q37" s="392"/>
      <c r="R37" s="392"/>
      <c r="S37" s="392"/>
      <c r="T37" s="392"/>
      <c r="U37" s="393"/>
      <c r="W37" s="391"/>
      <c r="X37" s="392"/>
      <c r="Y37" s="392"/>
      <c r="Z37" s="392"/>
      <c r="AA37" s="392"/>
      <c r="AB37" s="392"/>
      <c r="AC37" s="392"/>
      <c r="AD37" s="392"/>
      <c r="AE37" s="392"/>
      <c r="AF37" s="392"/>
      <c r="AG37" s="392"/>
      <c r="AH37" s="392"/>
      <c r="AI37" s="392"/>
      <c r="AJ37" s="392"/>
      <c r="AK37" s="392"/>
      <c r="AL37" s="392"/>
      <c r="AM37" s="392"/>
      <c r="AN37" s="392"/>
      <c r="AO37" s="392"/>
      <c r="AP37" s="393"/>
    </row>
    <row r="38" spans="2:49" ht="3.6" customHeight="1">
      <c r="B38" s="396"/>
      <c r="C38" s="394"/>
      <c r="D38" s="394"/>
      <c r="E38" s="394"/>
      <c r="F38" s="394"/>
      <c r="G38" s="394"/>
      <c r="H38" s="394"/>
      <c r="I38" s="394"/>
      <c r="J38" s="394"/>
      <c r="K38" s="394"/>
      <c r="L38" s="394"/>
      <c r="M38" s="394"/>
      <c r="N38" s="394"/>
      <c r="O38" s="394"/>
      <c r="P38" s="394"/>
      <c r="Q38" s="394"/>
      <c r="R38" s="394"/>
      <c r="S38" s="394"/>
      <c r="T38" s="394"/>
      <c r="U38" s="395"/>
      <c r="W38" s="396"/>
      <c r="X38" s="394"/>
      <c r="Y38" s="394"/>
      <c r="Z38" s="394"/>
      <c r="AA38" s="394"/>
      <c r="AB38" s="394"/>
      <c r="AC38" s="394"/>
      <c r="AD38" s="394"/>
      <c r="AE38" s="394"/>
      <c r="AF38" s="394"/>
      <c r="AG38" s="394"/>
      <c r="AH38" s="394"/>
      <c r="AI38" s="394"/>
      <c r="AJ38" s="394"/>
      <c r="AK38" s="394"/>
      <c r="AL38" s="394"/>
      <c r="AM38" s="394"/>
      <c r="AN38" s="394"/>
      <c r="AO38" s="394"/>
      <c r="AP38" s="395"/>
    </row>
    <row r="39" spans="2:49" ht="3" customHeight="1"/>
    <row r="40" spans="2:49" ht="3.6" customHeight="1">
      <c r="B40" s="388"/>
      <c r="C40" s="389"/>
      <c r="D40" s="389"/>
      <c r="E40" s="389"/>
      <c r="F40" s="389"/>
      <c r="G40" s="389"/>
      <c r="H40" s="389"/>
      <c r="I40" s="389"/>
      <c r="J40" s="389"/>
      <c r="K40" s="389"/>
      <c r="L40" s="389"/>
      <c r="M40" s="389"/>
      <c r="N40" s="389"/>
      <c r="O40" s="389"/>
      <c r="P40" s="389"/>
      <c r="Q40" s="389"/>
      <c r="R40" s="389"/>
      <c r="S40" s="389"/>
      <c r="T40" s="389"/>
      <c r="U40" s="390"/>
      <c r="W40" s="388"/>
      <c r="X40" s="389"/>
      <c r="Y40" s="389"/>
      <c r="Z40" s="389"/>
      <c r="AA40" s="389"/>
      <c r="AB40" s="389"/>
      <c r="AC40" s="389"/>
      <c r="AD40" s="389"/>
      <c r="AE40" s="389"/>
      <c r="AF40" s="389"/>
      <c r="AG40" s="389"/>
      <c r="AH40" s="389"/>
      <c r="AI40" s="389"/>
      <c r="AJ40" s="389"/>
      <c r="AK40" s="389"/>
      <c r="AL40" s="389"/>
      <c r="AM40" s="389"/>
      <c r="AN40" s="389"/>
      <c r="AO40" s="389"/>
      <c r="AP40" s="390"/>
    </row>
    <row r="41" spans="2:49" ht="3.6" customHeight="1">
      <c r="B41" s="391"/>
      <c r="C41" s="392"/>
      <c r="D41" s="392"/>
      <c r="E41" s="392"/>
      <c r="F41" s="392"/>
      <c r="G41" s="392"/>
      <c r="H41" s="392"/>
      <c r="I41" s="392"/>
      <c r="J41" s="392"/>
      <c r="K41" s="392"/>
      <c r="L41" s="392"/>
      <c r="M41" s="392"/>
      <c r="N41" s="392"/>
      <c r="O41" s="392"/>
      <c r="P41" s="392"/>
      <c r="Q41" s="392"/>
      <c r="R41" s="392"/>
      <c r="S41" s="392"/>
      <c r="T41" s="392"/>
      <c r="U41" s="393"/>
      <c r="W41" s="391"/>
      <c r="X41" s="392"/>
      <c r="Y41" s="392"/>
      <c r="Z41" s="392"/>
      <c r="AA41" s="392"/>
      <c r="AB41" s="392"/>
      <c r="AC41" s="392"/>
      <c r="AD41" s="392"/>
      <c r="AE41" s="392"/>
      <c r="AF41" s="392"/>
      <c r="AG41" s="392"/>
      <c r="AH41" s="392"/>
      <c r="AI41" s="392"/>
      <c r="AJ41" s="392"/>
      <c r="AK41" s="392"/>
      <c r="AL41" s="392"/>
      <c r="AM41" s="392"/>
      <c r="AN41" s="392"/>
      <c r="AO41" s="392"/>
      <c r="AP41" s="393"/>
    </row>
    <row r="42" spans="2:49">
      <c r="B42" s="391"/>
      <c r="C42" s="392"/>
      <c r="D42" s="1179" t="str">
        <f>'4a_sud-journal'!$V$79</f>
        <v/>
      </c>
      <c r="E42" s="1180"/>
      <c r="F42" s="1180"/>
      <c r="G42" s="447"/>
      <c r="H42" s="499"/>
      <c r="I42" s="499"/>
      <c r="J42" s="499"/>
      <c r="K42" s="499"/>
      <c r="L42" s="499"/>
      <c r="M42" s="499"/>
      <c r="N42" s="499"/>
      <c r="O42" s="499"/>
      <c r="P42" s="448"/>
      <c r="Q42" s="447" t="s">
        <v>788</v>
      </c>
      <c r="R42" s="449"/>
      <c r="S42" s="450"/>
      <c r="T42" s="392"/>
      <c r="U42" s="393"/>
      <c r="W42" s="391"/>
      <c r="X42" s="392"/>
      <c r="Y42" s="1179" t="str">
        <f>'4a_sud-journal'!$V$79</f>
        <v/>
      </c>
      <c r="Z42" s="1180"/>
      <c r="AA42" s="1180"/>
      <c r="AB42" s="447"/>
      <c r="AC42" s="499"/>
      <c r="AD42" s="499"/>
      <c r="AE42" s="499"/>
      <c r="AF42" s="499"/>
      <c r="AG42" s="499"/>
      <c r="AH42" s="499"/>
      <c r="AI42" s="499"/>
      <c r="AJ42" s="448"/>
      <c r="AK42" s="448"/>
      <c r="AL42" s="447" t="s">
        <v>788</v>
      </c>
      <c r="AM42" s="449"/>
      <c r="AN42" s="450"/>
      <c r="AO42" s="392"/>
      <c r="AP42" s="393"/>
    </row>
    <row r="43" spans="2:49">
      <c r="B43" s="391"/>
      <c r="C43" s="392"/>
      <c r="D43" s="1181" t="str">
        <f>'5_gaerdiagramm'!$F$38</f>
        <v/>
      </c>
      <c r="E43" s="1182"/>
      <c r="F43" s="1182"/>
      <c r="G43" s="1182"/>
      <c r="H43" s="465"/>
      <c r="I43" s="465"/>
      <c r="J43" s="465"/>
      <c r="K43" s="465"/>
      <c r="L43" s="465"/>
      <c r="M43" s="465"/>
      <c r="N43" s="465"/>
      <c r="O43" s="465"/>
      <c r="P43" s="452"/>
      <c r="Q43" s="1171">
        <f>'1_vorbereitung'!$F$6</f>
        <v>0</v>
      </c>
      <c r="R43" s="1171"/>
      <c r="S43" s="1172"/>
      <c r="T43" s="392"/>
      <c r="U43" s="393"/>
      <c r="W43" s="391"/>
      <c r="X43" s="392"/>
      <c r="Y43" s="1181" t="str">
        <f>'5_gaerdiagramm'!$F$38</f>
        <v/>
      </c>
      <c r="Z43" s="1182"/>
      <c r="AA43" s="1182"/>
      <c r="AB43" s="1182"/>
      <c r="AC43" s="465"/>
      <c r="AD43" s="465"/>
      <c r="AE43" s="465"/>
      <c r="AF43" s="465"/>
      <c r="AG43" s="465"/>
      <c r="AH43" s="465"/>
      <c r="AI43" s="465"/>
      <c r="AJ43" s="451"/>
      <c r="AK43" s="452"/>
      <c r="AL43" s="1171">
        <f>'1_vorbereitung'!$F$6</f>
        <v>0</v>
      </c>
      <c r="AM43" s="1171"/>
      <c r="AN43" s="1172"/>
      <c r="AO43" s="392"/>
      <c r="AP43" s="393"/>
    </row>
    <row r="44" spans="2:49">
      <c r="B44" s="391"/>
      <c r="C44" s="392"/>
      <c r="D44" s="1173" t="str">
        <f>'3_rezeptkarte'!$T$8</f>
        <v/>
      </c>
      <c r="E44" s="1174"/>
      <c r="F44" s="1174"/>
      <c r="G44" s="1174"/>
      <c r="H44" s="465"/>
      <c r="I44" s="465"/>
      <c r="J44" s="465"/>
      <c r="K44" s="465"/>
      <c r="L44" s="465"/>
      <c r="M44" s="465"/>
      <c r="N44" s="465"/>
      <c r="O44" s="465"/>
      <c r="P44" s="453"/>
      <c r="Q44" s="460" t="s">
        <v>834</v>
      </c>
      <c r="R44" s="461"/>
      <c r="S44" s="462"/>
      <c r="T44" s="392"/>
      <c r="U44" s="393"/>
      <c r="W44" s="391"/>
      <c r="X44" s="392"/>
      <c r="Y44" s="1173" t="str">
        <f>'3_rezeptkarte'!$T$8</f>
        <v/>
      </c>
      <c r="Z44" s="1174"/>
      <c r="AA44" s="1174"/>
      <c r="AB44" s="1174"/>
      <c r="AC44" s="465"/>
      <c r="AD44" s="465"/>
      <c r="AE44" s="465"/>
      <c r="AF44" s="465"/>
      <c r="AG44" s="465"/>
      <c r="AH44" s="465"/>
      <c r="AI44" s="465"/>
      <c r="AJ44" s="451"/>
      <c r="AK44" s="453"/>
      <c r="AL44" s="460" t="s">
        <v>834</v>
      </c>
      <c r="AM44" s="461"/>
      <c r="AN44" s="462"/>
      <c r="AO44" s="392"/>
      <c r="AP44" s="393"/>
    </row>
    <row r="45" spans="2:49">
      <c r="B45" s="391"/>
      <c r="C45" s="392"/>
      <c r="D45" s="1175" t="str">
        <f>'3_rezeptkarte'!$AA$8</f>
        <v/>
      </c>
      <c r="E45" s="1176"/>
      <c r="F45" s="1176"/>
      <c r="G45" s="454"/>
      <c r="H45" s="465"/>
      <c r="I45" s="465"/>
      <c r="J45" s="465"/>
      <c r="K45" s="465"/>
      <c r="L45" s="465"/>
      <c r="M45" s="465"/>
      <c r="N45" s="465"/>
      <c r="O45" s="465"/>
      <c r="P45" s="455"/>
      <c r="Q45" s="1177">
        <f>$Q$7</f>
        <v>43466</v>
      </c>
      <c r="R45" s="1177"/>
      <c r="S45" s="1178"/>
      <c r="T45" s="392"/>
      <c r="U45" s="393"/>
      <c r="W45" s="391"/>
      <c r="X45" s="392"/>
      <c r="Y45" s="1175" t="str">
        <f>'3_rezeptkarte'!$AA$8</f>
        <v/>
      </c>
      <c r="Z45" s="1176"/>
      <c r="AA45" s="1176"/>
      <c r="AB45" s="454"/>
      <c r="AC45" s="465"/>
      <c r="AD45" s="465"/>
      <c r="AE45" s="465"/>
      <c r="AF45" s="465"/>
      <c r="AG45" s="465"/>
      <c r="AH45" s="465"/>
      <c r="AI45" s="465"/>
      <c r="AJ45" s="451"/>
      <c r="AK45" s="455"/>
      <c r="AL45" s="1177">
        <f>$Q$7</f>
        <v>43466</v>
      </c>
      <c r="AM45" s="1177"/>
      <c r="AN45" s="1178"/>
      <c r="AO45" s="392"/>
      <c r="AP45" s="393"/>
    </row>
    <row r="46" spans="2:49">
      <c r="B46" s="391"/>
      <c r="C46" s="392"/>
      <c r="D46" s="456"/>
      <c r="E46" s="457"/>
      <c r="F46" s="457"/>
      <c r="G46" s="458"/>
      <c r="H46" s="465"/>
      <c r="I46" s="465"/>
      <c r="J46" s="465"/>
      <c r="K46" s="465"/>
      <c r="L46" s="465"/>
      <c r="M46" s="465"/>
      <c r="N46" s="465"/>
      <c r="O46" s="465"/>
      <c r="P46" s="459"/>
      <c r="Q46" s="1166"/>
      <c r="R46" s="1166"/>
      <c r="S46" s="1167"/>
      <c r="T46" s="392"/>
      <c r="U46" s="393"/>
      <c r="W46" s="391"/>
      <c r="X46" s="392"/>
      <c r="Y46" s="456"/>
      <c r="Z46" s="457"/>
      <c r="AA46" s="457"/>
      <c r="AB46" s="458"/>
      <c r="AC46" s="465"/>
      <c r="AD46" s="465"/>
      <c r="AE46" s="465"/>
      <c r="AF46" s="465"/>
      <c r="AG46" s="465"/>
      <c r="AH46" s="465"/>
      <c r="AI46" s="465"/>
      <c r="AJ46" s="451"/>
      <c r="AK46" s="459"/>
      <c r="AL46" s="1166"/>
      <c r="AM46" s="1166"/>
      <c r="AN46" s="1167"/>
      <c r="AO46" s="392"/>
      <c r="AP46" s="393"/>
    </row>
    <row r="47" spans="2:49" ht="14.4" customHeight="1">
      <c r="B47" s="391"/>
      <c r="C47" s="392"/>
      <c r="D47" s="1168">
        <f>'3_rezeptkarte'!$C$6</f>
        <v>0</v>
      </c>
      <c r="E47" s="1169"/>
      <c r="F47" s="1169"/>
      <c r="G47" s="1169"/>
      <c r="H47" s="1169"/>
      <c r="I47" s="1169"/>
      <c r="J47" s="1169"/>
      <c r="K47" s="1169"/>
      <c r="L47" s="1169"/>
      <c r="M47" s="1169"/>
      <c r="N47" s="1169"/>
      <c r="O47" s="1169"/>
      <c r="P47" s="1169"/>
      <c r="Q47" s="1169"/>
      <c r="R47" s="1169"/>
      <c r="S47" s="1170"/>
      <c r="T47" s="392"/>
      <c r="U47" s="393"/>
      <c r="W47" s="391"/>
      <c r="X47" s="392"/>
      <c r="Y47" s="1168">
        <f>'3_rezeptkarte'!$C$6</f>
        <v>0</v>
      </c>
      <c r="Z47" s="1169"/>
      <c r="AA47" s="1169"/>
      <c r="AB47" s="1169"/>
      <c r="AC47" s="1169"/>
      <c r="AD47" s="1169"/>
      <c r="AE47" s="1169"/>
      <c r="AF47" s="1169"/>
      <c r="AG47" s="1169"/>
      <c r="AH47" s="1169"/>
      <c r="AI47" s="1169"/>
      <c r="AJ47" s="1169"/>
      <c r="AK47" s="1169"/>
      <c r="AL47" s="1169"/>
      <c r="AM47" s="1169"/>
      <c r="AN47" s="1170"/>
      <c r="AO47" s="392"/>
      <c r="AP47" s="393"/>
    </row>
    <row r="48" spans="2:49" ht="14.4" customHeight="1">
      <c r="B48" s="391"/>
      <c r="C48" s="392"/>
      <c r="D48" s="1168"/>
      <c r="E48" s="1169"/>
      <c r="F48" s="1169"/>
      <c r="G48" s="1169"/>
      <c r="H48" s="1169"/>
      <c r="I48" s="1169"/>
      <c r="J48" s="1169"/>
      <c r="K48" s="1169"/>
      <c r="L48" s="1169"/>
      <c r="M48" s="1169"/>
      <c r="N48" s="1169"/>
      <c r="O48" s="1169"/>
      <c r="P48" s="1169"/>
      <c r="Q48" s="1169"/>
      <c r="R48" s="1169"/>
      <c r="S48" s="1170"/>
      <c r="T48" s="392"/>
      <c r="U48" s="393"/>
      <c r="W48" s="391"/>
      <c r="X48" s="392"/>
      <c r="Y48" s="1168"/>
      <c r="Z48" s="1169"/>
      <c r="AA48" s="1169"/>
      <c r="AB48" s="1169"/>
      <c r="AC48" s="1169"/>
      <c r="AD48" s="1169"/>
      <c r="AE48" s="1169"/>
      <c r="AF48" s="1169"/>
      <c r="AG48" s="1169"/>
      <c r="AH48" s="1169"/>
      <c r="AI48" s="1169"/>
      <c r="AJ48" s="1169"/>
      <c r="AK48" s="1169"/>
      <c r="AL48" s="1169"/>
      <c r="AM48" s="1169"/>
      <c r="AN48" s="1170"/>
      <c r="AO48" s="392"/>
      <c r="AP48" s="393"/>
    </row>
    <row r="49" spans="2:42" ht="14.4" customHeight="1">
      <c r="B49" s="391"/>
      <c r="C49" s="392"/>
      <c r="D49" s="1168"/>
      <c r="E49" s="1169"/>
      <c r="F49" s="1169"/>
      <c r="G49" s="1169"/>
      <c r="H49" s="1169"/>
      <c r="I49" s="1169"/>
      <c r="J49" s="1169"/>
      <c r="K49" s="1169"/>
      <c r="L49" s="1169"/>
      <c r="M49" s="1169"/>
      <c r="N49" s="1169"/>
      <c r="O49" s="1169"/>
      <c r="P49" s="1169"/>
      <c r="Q49" s="1169"/>
      <c r="R49" s="1169"/>
      <c r="S49" s="1170"/>
      <c r="T49" s="392"/>
      <c r="U49" s="393"/>
      <c r="W49" s="391"/>
      <c r="X49" s="392"/>
      <c r="Y49" s="1168"/>
      <c r="Z49" s="1169"/>
      <c r="AA49" s="1169"/>
      <c r="AB49" s="1169"/>
      <c r="AC49" s="1169"/>
      <c r="AD49" s="1169"/>
      <c r="AE49" s="1169"/>
      <c r="AF49" s="1169"/>
      <c r="AG49" s="1169"/>
      <c r="AH49" s="1169"/>
      <c r="AI49" s="1169"/>
      <c r="AJ49" s="1169"/>
      <c r="AK49" s="1169"/>
      <c r="AL49" s="1169"/>
      <c r="AM49" s="1169"/>
      <c r="AN49" s="1170"/>
      <c r="AO49" s="392"/>
      <c r="AP49" s="393"/>
    </row>
    <row r="50" spans="2:42" ht="14.4" customHeight="1">
      <c r="B50" s="391"/>
      <c r="C50" s="392"/>
      <c r="D50" s="1159" t="str">
        <f>IF(ISBLANK($D$12),"",$D$12)</f>
        <v>&lt;text1&gt;</v>
      </c>
      <c r="E50" s="1160"/>
      <c r="F50" s="1160"/>
      <c r="G50" s="1160"/>
      <c r="H50" s="1160"/>
      <c r="I50" s="1160"/>
      <c r="J50" s="1160"/>
      <c r="K50" s="1160"/>
      <c r="L50" s="1160"/>
      <c r="M50" s="1160"/>
      <c r="N50" s="1160"/>
      <c r="O50" s="1160"/>
      <c r="P50" s="1160"/>
      <c r="Q50" s="1160"/>
      <c r="R50" s="1160"/>
      <c r="S50" s="1161"/>
      <c r="T50" s="392"/>
      <c r="U50" s="393"/>
      <c r="W50" s="391"/>
      <c r="X50" s="392"/>
      <c r="Y50" s="1159" t="str">
        <f>IF(ISBLANK($D$12),"",$D$12)</f>
        <v>&lt;text1&gt;</v>
      </c>
      <c r="Z50" s="1160"/>
      <c r="AA50" s="1160"/>
      <c r="AB50" s="1160"/>
      <c r="AC50" s="1160"/>
      <c r="AD50" s="1160"/>
      <c r="AE50" s="1160"/>
      <c r="AF50" s="1160"/>
      <c r="AG50" s="1160"/>
      <c r="AH50" s="1160"/>
      <c r="AI50" s="1160"/>
      <c r="AJ50" s="1160"/>
      <c r="AK50" s="1160"/>
      <c r="AL50" s="1160"/>
      <c r="AM50" s="1160"/>
      <c r="AN50" s="1161"/>
      <c r="AO50" s="392"/>
      <c r="AP50" s="393"/>
    </row>
    <row r="51" spans="2:42" ht="16.2">
      <c r="B51" s="391"/>
      <c r="C51" s="392"/>
      <c r="D51" s="1159" t="str">
        <f>IF(ISBLANK($D$13),"",$D$13)</f>
        <v>&lt;text2&gt;</v>
      </c>
      <c r="E51" s="1160"/>
      <c r="F51" s="1160"/>
      <c r="G51" s="1160"/>
      <c r="H51" s="1160"/>
      <c r="I51" s="1160"/>
      <c r="J51" s="1160"/>
      <c r="K51" s="1160"/>
      <c r="L51" s="1160"/>
      <c r="M51" s="1160"/>
      <c r="N51" s="1160"/>
      <c r="O51" s="1160"/>
      <c r="P51" s="1160"/>
      <c r="Q51" s="1160"/>
      <c r="R51" s="1160"/>
      <c r="S51" s="1161"/>
      <c r="T51" s="392"/>
      <c r="U51" s="393"/>
      <c r="W51" s="391"/>
      <c r="X51" s="392"/>
      <c r="Y51" s="1159" t="str">
        <f>IF(ISBLANK($D$13),"",$D$13)</f>
        <v>&lt;text2&gt;</v>
      </c>
      <c r="Z51" s="1160"/>
      <c r="AA51" s="1160"/>
      <c r="AB51" s="1160"/>
      <c r="AC51" s="1160"/>
      <c r="AD51" s="1160"/>
      <c r="AE51" s="1160"/>
      <c r="AF51" s="1160"/>
      <c r="AG51" s="1160"/>
      <c r="AH51" s="1160"/>
      <c r="AI51" s="1160"/>
      <c r="AJ51" s="1160"/>
      <c r="AK51" s="1160"/>
      <c r="AL51" s="1160"/>
      <c r="AM51" s="1160"/>
      <c r="AN51" s="1161"/>
      <c r="AO51" s="392"/>
      <c r="AP51" s="393"/>
    </row>
    <row r="52" spans="2:42" ht="14.4" customHeight="1">
      <c r="B52" s="391"/>
      <c r="C52" s="392"/>
      <c r="D52" s="1162" t="str">
        <f>CONCATENATE('7_verkostungsbogen'!$AV$13,'7_verkostungsbogen'!$G$15)</f>
        <v xml:space="preserve">Zutaten: Brauwasser, Hopfen (), bitte wählen Hefe </v>
      </c>
      <c r="E52" s="1163"/>
      <c r="F52" s="1163"/>
      <c r="G52" s="1163"/>
      <c r="H52" s="1163"/>
      <c r="I52" s="1163"/>
      <c r="J52" s="1163"/>
      <c r="K52" s="1163"/>
      <c r="L52" s="1163"/>
      <c r="M52" s="1163"/>
      <c r="N52" s="1163"/>
      <c r="O52" s="1163"/>
      <c r="P52" s="1163"/>
      <c r="Q52" s="463"/>
      <c r="R52" s="463"/>
      <c r="S52" s="464"/>
      <c r="T52" s="392"/>
      <c r="U52" s="393"/>
      <c r="W52" s="391"/>
      <c r="X52" s="392"/>
      <c r="Y52" s="1162" t="str">
        <f>CONCATENATE('7_verkostungsbogen'!$AV$13,'7_verkostungsbogen'!$G$15)</f>
        <v xml:space="preserve">Zutaten: Brauwasser, Hopfen (), bitte wählen Hefe </v>
      </c>
      <c r="Z52" s="1163"/>
      <c r="AA52" s="1163"/>
      <c r="AB52" s="1163"/>
      <c r="AC52" s="1163"/>
      <c r="AD52" s="1163"/>
      <c r="AE52" s="1163"/>
      <c r="AF52" s="1163"/>
      <c r="AG52" s="1163"/>
      <c r="AH52" s="1163"/>
      <c r="AI52" s="1163"/>
      <c r="AJ52" s="1163"/>
      <c r="AK52" s="1163"/>
      <c r="AL52" s="463"/>
      <c r="AM52" s="463"/>
      <c r="AN52" s="464"/>
      <c r="AO52" s="392"/>
      <c r="AP52" s="393"/>
    </row>
    <row r="53" spans="2:42" ht="14.4" customHeight="1">
      <c r="B53" s="391"/>
      <c r="C53" s="392"/>
      <c r="D53" s="1162"/>
      <c r="E53" s="1163"/>
      <c r="F53" s="1163"/>
      <c r="G53" s="1163"/>
      <c r="H53" s="1163"/>
      <c r="I53" s="1163"/>
      <c r="J53" s="1163"/>
      <c r="K53" s="1163"/>
      <c r="L53" s="1163"/>
      <c r="M53" s="1163"/>
      <c r="N53" s="1163"/>
      <c r="O53" s="1163"/>
      <c r="P53" s="1163"/>
      <c r="Q53" s="465"/>
      <c r="R53" s="465"/>
      <c r="S53" s="466"/>
      <c r="T53" s="392"/>
      <c r="U53" s="393"/>
      <c r="W53" s="391"/>
      <c r="X53" s="392"/>
      <c r="Y53" s="1162"/>
      <c r="Z53" s="1163"/>
      <c r="AA53" s="1163"/>
      <c r="AB53" s="1163"/>
      <c r="AC53" s="1163"/>
      <c r="AD53" s="1163"/>
      <c r="AE53" s="1163"/>
      <c r="AF53" s="1163"/>
      <c r="AG53" s="1163"/>
      <c r="AH53" s="1163"/>
      <c r="AI53" s="1163"/>
      <c r="AJ53" s="1163"/>
      <c r="AK53" s="1163"/>
      <c r="AL53" s="465"/>
      <c r="AM53" s="465"/>
      <c r="AN53" s="466"/>
      <c r="AO53" s="392"/>
      <c r="AP53" s="393"/>
    </row>
    <row r="54" spans="2:42">
      <c r="B54" s="391"/>
      <c r="C54" s="392"/>
      <c r="D54" s="1162"/>
      <c r="E54" s="1163"/>
      <c r="F54" s="1163"/>
      <c r="G54" s="1163"/>
      <c r="H54" s="1163"/>
      <c r="I54" s="1163"/>
      <c r="J54" s="1163"/>
      <c r="K54" s="1163"/>
      <c r="L54" s="1163"/>
      <c r="M54" s="1163"/>
      <c r="N54" s="1163"/>
      <c r="O54" s="1163"/>
      <c r="P54" s="1163"/>
      <c r="Q54" s="465"/>
      <c r="R54" s="465"/>
      <c r="S54" s="466"/>
      <c r="T54" s="392"/>
      <c r="U54" s="393"/>
      <c r="W54" s="391"/>
      <c r="X54" s="392"/>
      <c r="Y54" s="1162"/>
      <c r="Z54" s="1163"/>
      <c r="AA54" s="1163"/>
      <c r="AB54" s="1163"/>
      <c r="AC54" s="1163"/>
      <c r="AD54" s="1163"/>
      <c r="AE54" s="1163"/>
      <c r="AF54" s="1163"/>
      <c r="AG54" s="1163"/>
      <c r="AH54" s="1163"/>
      <c r="AI54" s="1163"/>
      <c r="AJ54" s="1163"/>
      <c r="AK54" s="1163"/>
      <c r="AL54" s="465"/>
      <c r="AM54" s="465"/>
      <c r="AN54" s="466"/>
      <c r="AO54" s="392"/>
      <c r="AP54" s="393"/>
    </row>
    <row r="55" spans="2:42">
      <c r="B55" s="391"/>
      <c r="C55" s="392"/>
      <c r="D55" s="1164"/>
      <c r="E55" s="1165"/>
      <c r="F55" s="1165"/>
      <c r="G55" s="1165"/>
      <c r="H55" s="1165"/>
      <c r="I55" s="1165"/>
      <c r="J55" s="1165"/>
      <c r="K55" s="1165"/>
      <c r="L55" s="1165"/>
      <c r="M55" s="1165"/>
      <c r="N55" s="1165"/>
      <c r="O55" s="1165"/>
      <c r="P55" s="1165"/>
      <c r="Q55" s="467"/>
      <c r="R55" s="467"/>
      <c r="S55" s="468"/>
      <c r="T55" s="392"/>
      <c r="U55" s="393"/>
      <c r="W55" s="391"/>
      <c r="X55" s="392"/>
      <c r="Y55" s="1164"/>
      <c r="Z55" s="1165"/>
      <c r="AA55" s="1165"/>
      <c r="AB55" s="1165"/>
      <c r="AC55" s="1165"/>
      <c r="AD55" s="1165"/>
      <c r="AE55" s="1165"/>
      <c r="AF55" s="1165"/>
      <c r="AG55" s="1165"/>
      <c r="AH55" s="1165"/>
      <c r="AI55" s="1165"/>
      <c r="AJ55" s="1165"/>
      <c r="AK55" s="1165"/>
      <c r="AL55" s="467"/>
      <c r="AM55" s="467"/>
      <c r="AN55" s="468"/>
      <c r="AO55" s="392"/>
      <c r="AP55" s="393"/>
    </row>
    <row r="56" spans="2:42" ht="3.6" customHeight="1">
      <c r="B56" s="391"/>
      <c r="C56" s="392"/>
      <c r="D56" s="392"/>
      <c r="E56" s="392"/>
      <c r="F56" s="392"/>
      <c r="G56" s="392"/>
      <c r="H56" s="392"/>
      <c r="I56" s="392"/>
      <c r="J56" s="392"/>
      <c r="K56" s="392"/>
      <c r="L56" s="392"/>
      <c r="M56" s="392"/>
      <c r="N56" s="392"/>
      <c r="O56" s="392"/>
      <c r="P56" s="392"/>
      <c r="Q56" s="392"/>
      <c r="R56" s="392"/>
      <c r="S56" s="392"/>
      <c r="T56" s="392"/>
      <c r="U56" s="393"/>
      <c r="W56" s="391"/>
      <c r="X56" s="392"/>
      <c r="Y56" s="392"/>
      <c r="Z56" s="392"/>
      <c r="AA56" s="392"/>
      <c r="AB56" s="392"/>
      <c r="AC56" s="392"/>
      <c r="AD56" s="392"/>
      <c r="AE56" s="392"/>
      <c r="AF56" s="392"/>
      <c r="AG56" s="392"/>
      <c r="AH56" s="392"/>
      <c r="AI56" s="392"/>
      <c r="AJ56" s="392"/>
      <c r="AK56" s="392"/>
      <c r="AL56" s="392"/>
      <c r="AM56" s="392"/>
      <c r="AN56" s="392"/>
      <c r="AO56" s="392"/>
      <c r="AP56" s="393"/>
    </row>
    <row r="57" spans="2:42" ht="3.6" customHeight="1">
      <c r="B57" s="396"/>
      <c r="C57" s="394"/>
      <c r="D57" s="394"/>
      <c r="E57" s="394"/>
      <c r="F57" s="394"/>
      <c r="G57" s="394"/>
      <c r="H57" s="394"/>
      <c r="I57" s="394"/>
      <c r="J57" s="394"/>
      <c r="K57" s="394"/>
      <c r="L57" s="394"/>
      <c r="M57" s="394"/>
      <c r="N57" s="394"/>
      <c r="O57" s="394"/>
      <c r="P57" s="394"/>
      <c r="Q57" s="394"/>
      <c r="R57" s="394"/>
      <c r="S57" s="394"/>
      <c r="T57" s="394"/>
      <c r="U57" s="395"/>
      <c r="W57" s="396"/>
      <c r="X57" s="394"/>
      <c r="Y57" s="394"/>
      <c r="Z57" s="394"/>
      <c r="AA57" s="394"/>
      <c r="AB57" s="394"/>
      <c r="AC57" s="394"/>
      <c r="AD57" s="394"/>
      <c r="AE57" s="394"/>
      <c r="AF57" s="394"/>
      <c r="AG57" s="394"/>
      <c r="AH57" s="394"/>
      <c r="AI57" s="394"/>
      <c r="AJ57" s="394"/>
      <c r="AK57" s="394"/>
      <c r="AL57" s="394"/>
      <c r="AM57" s="394"/>
      <c r="AN57" s="394"/>
      <c r="AO57" s="394"/>
      <c r="AP57" s="395"/>
    </row>
  </sheetData>
  <mergeCells count="68">
    <mergeCell ref="AL7:AN7"/>
    <mergeCell ref="D4:F4"/>
    <mergeCell ref="Y4:AA4"/>
    <mergeCell ref="D5:G5"/>
    <mergeCell ref="Q5:S5"/>
    <mergeCell ref="Y5:AB5"/>
    <mergeCell ref="AL5:AN5"/>
    <mergeCell ref="D6:G6"/>
    <mergeCell ref="Y6:AB6"/>
    <mergeCell ref="D7:F7"/>
    <mergeCell ref="Q7:S7"/>
    <mergeCell ref="Y7:AA7"/>
    <mergeCell ref="Q8:S8"/>
    <mergeCell ref="AL8:AN8"/>
    <mergeCell ref="D9:S11"/>
    <mergeCell ref="Y9:AN11"/>
    <mergeCell ref="D12:S12"/>
    <mergeCell ref="Y12:AN12"/>
    <mergeCell ref="D13:S13"/>
    <mergeCell ref="Y13:AN13"/>
    <mergeCell ref="D14:P17"/>
    <mergeCell ref="Y14:AK17"/>
    <mergeCell ref="D23:F23"/>
    <mergeCell ref="Y23:AA23"/>
    <mergeCell ref="D24:G24"/>
    <mergeCell ref="Q24:S24"/>
    <mergeCell ref="Y24:AB24"/>
    <mergeCell ref="AL24:AN24"/>
    <mergeCell ref="D25:G25"/>
    <mergeCell ref="Y25:AB25"/>
    <mergeCell ref="D26:F26"/>
    <mergeCell ref="Q26:S26"/>
    <mergeCell ref="Y26:AA26"/>
    <mergeCell ref="AL26:AN26"/>
    <mergeCell ref="Q27:S27"/>
    <mergeCell ref="AL27:AN27"/>
    <mergeCell ref="D28:S30"/>
    <mergeCell ref="Y28:AN30"/>
    <mergeCell ref="D31:S31"/>
    <mergeCell ref="Y31:AN31"/>
    <mergeCell ref="D32:S32"/>
    <mergeCell ref="Y32:AN32"/>
    <mergeCell ref="Q45:S45"/>
    <mergeCell ref="Y45:AA45"/>
    <mergeCell ref="AL45:AN45"/>
    <mergeCell ref="D33:P36"/>
    <mergeCell ref="Y33:AK36"/>
    <mergeCell ref="D42:F42"/>
    <mergeCell ref="Y42:AA42"/>
    <mergeCell ref="D43:G43"/>
    <mergeCell ref="Q43:S43"/>
    <mergeCell ref="Y43:AB43"/>
    <mergeCell ref="AR4:AR5"/>
    <mergeCell ref="AT4:AT5"/>
    <mergeCell ref="D51:S51"/>
    <mergeCell ref="Y51:AN51"/>
    <mergeCell ref="D52:P55"/>
    <mergeCell ref="Y52:AK55"/>
    <mergeCell ref="Q46:S46"/>
    <mergeCell ref="AL46:AN46"/>
    <mergeCell ref="D47:S49"/>
    <mergeCell ref="Y47:AN49"/>
    <mergeCell ref="D50:S50"/>
    <mergeCell ref="Y50:AN50"/>
    <mergeCell ref="AL43:AN43"/>
    <mergeCell ref="D44:G44"/>
    <mergeCell ref="Y44:AB44"/>
    <mergeCell ref="D45:F45"/>
  </mergeCells>
  <hyperlinks>
    <hyperlink ref="AR4" location="'9_banderole'!S6" tooltip="zurück zur Banderole" display="ï" xr:uid="{00000000-0004-0000-0E00-000000000000}"/>
    <hyperlink ref="AS4" location="start!A1" tooltip="zur Startseite" display="ñ" xr:uid="{00000000-0004-0000-0E00-000001000000}"/>
  </hyperlinks>
  <printOptions horizontalCentered="1"/>
  <pageMargins left="0.19685039370078741" right="0.19685039370078741" top="0.39370078740157483" bottom="0.39370078740157483" header="0.31496062992125984" footer="0.31496062992125984"/>
  <pageSetup paperSize="9" orientation="portrait" r:id="rId1"/>
  <colBreaks count="1" manualBreakCount="1">
    <brk id="43"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dimension ref="A1:EH3"/>
  <sheetViews>
    <sheetView workbookViewId="0"/>
  </sheetViews>
  <sheetFormatPr baseColWidth="10" defaultRowHeight="13.2"/>
  <sheetData>
    <row r="1" spans="1:138">
      <c r="A1" s="215" t="s">
        <v>350</v>
      </c>
      <c r="B1" s="215" t="s">
        <v>23</v>
      </c>
      <c r="C1" s="215" t="s">
        <v>1164</v>
      </c>
      <c r="D1" s="215" t="s">
        <v>228</v>
      </c>
      <c r="E1" s="215" t="s">
        <v>101</v>
      </c>
      <c r="F1" s="215" t="s">
        <v>65</v>
      </c>
      <c r="G1" s="215" t="s">
        <v>164</v>
      </c>
      <c r="H1" s="215" t="s">
        <v>162</v>
      </c>
      <c r="I1" s="215" t="s">
        <v>19</v>
      </c>
      <c r="J1" s="215" t="s">
        <v>16</v>
      </c>
      <c r="K1" s="215" t="s">
        <v>18</v>
      </c>
      <c r="L1" s="215" t="s">
        <v>1151</v>
      </c>
      <c r="M1" s="215" t="s">
        <v>1152</v>
      </c>
      <c r="N1" s="215" t="s">
        <v>1166</v>
      </c>
      <c r="O1" s="215" t="s">
        <v>1153</v>
      </c>
      <c r="P1" s="215" t="s">
        <v>1154</v>
      </c>
      <c r="Q1" s="215" t="s">
        <v>1165</v>
      </c>
      <c r="R1" s="215" t="s">
        <v>1155</v>
      </c>
      <c r="S1" s="215" t="s">
        <v>1156</v>
      </c>
      <c r="T1" s="215" t="s">
        <v>1167</v>
      </c>
      <c r="U1" s="215" t="s">
        <v>1157</v>
      </c>
      <c r="V1" s="215" t="s">
        <v>1158</v>
      </c>
      <c r="W1" s="215" t="s">
        <v>1168</v>
      </c>
      <c r="X1" s="215" t="s">
        <v>1159</v>
      </c>
      <c r="Y1" s="215" t="s">
        <v>1169</v>
      </c>
      <c r="Z1" s="215" t="s">
        <v>1170</v>
      </c>
      <c r="AA1" s="215" t="s">
        <v>1171</v>
      </c>
      <c r="AB1" s="215" t="s">
        <v>1160</v>
      </c>
      <c r="AC1" s="215" t="s">
        <v>1172</v>
      </c>
      <c r="AD1" s="215" t="s">
        <v>1161</v>
      </c>
      <c r="AE1" s="215" t="s">
        <v>1162</v>
      </c>
      <c r="AF1" s="215" t="s">
        <v>1163</v>
      </c>
      <c r="AG1" s="215" t="s">
        <v>1173</v>
      </c>
      <c r="AH1" s="215" t="s">
        <v>1174</v>
      </c>
      <c r="AI1" s="215" t="s">
        <v>1175</v>
      </c>
      <c r="AJ1" s="215" t="s">
        <v>1176</v>
      </c>
      <c r="AK1" s="215" t="s">
        <v>1231</v>
      </c>
      <c r="AL1" s="215" t="s">
        <v>1232</v>
      </c>
      <c r="AM1" s="215" t="s">
        <v>1177</v>
      </c>
      <c r="AN1" s="215" t="s">
        <v>1178</v>
      </c>
      <c r="AO1" s="215" t="s">
        <v>1179</v>
      </c>
      <c r="AP1" s="215" t="s">
        <v>1180</v>
      </c>
      <c r="AQ1" s="215" t="s">
        <v>1181</v>
      </c>
      <c r="AR1" s="215" t="s">
        <v>1182</v>
      </c>
      <c r="AS1" s="215" t="s">
        <v>1183</v>
      </c>
      <c r="AT1" s="215" t="s">
        <v>1184</v>
      </c>
      <c r="AU1" s="215" t="s">
        <v>1185</v>
      </c>
      <c r="AV1" s="215" t="s">
        <v>1186</v>
      </c>
      <c r="AW1" s="215" t="s">
        <v>1231</v>
      </c>
      <c r="AX1" s="215" t="s">
        <v>1232</v>
      </c>
      <c r="AY1" s="215" t="s">
        <v>1187</v>
      </c>
      <c r="AZ1" s="215" t="s">
        <v>1188</v>
      </c>
      <c r="BA1" s="215" t="s">
        <v>1189</v>
      </c>
      <c r="BB1" s="215" t="s">
        <v>1190</v>
      </c>
      <c r="BC1" s="215" t="s">
        <v>1191</v>
      </c>
      <c r="BD1" s="215" t="s">
        <v>1192</v>
      </c>
      <c r="BE1" s="215" t="s">
        <v>1193</v>
      </c>
      <c r="BF1" s="215" t="s">
        <v>1194</v>
      </c>
      <c r="BG1" s="215" t="s">
        <v>42</v>
      </c>
      <c r="BH1" s="215" t="s">
        <v>1195</v>
      </c>
      <c r="BI1" s="215" t="s">
        <v>1196</v>
      </c>
      <c r="BJ1" s="215" t="s">
        <v>1309</v>
      </c>
      <c r="BK1" s="637"/>
      <c r="BL1" s="637"/>
      <c r="BM1" s="215" t="s">
        <v>1198</v>
      </c>
      <c r="BN1" s="215" t="s">
        <v>1311</v>
      </c>
      <c r="BO1" s="637"/>
      <c r="BP1" s="215" t="s">
        <v>1197</v>
      </c>
      <c r="BQ1" s="215" t="s">
        <v>1199</v>
      </c>
      <c r="BR1" s="215" t="s">
        <v>1200</v>
      </c>
      <c r="BS1" s="215" t="s">
        <v>1201</v>
      </c>
      <c r="BT1" s="215" t="s">
        <v>1202</v>
      </c>
      <c r="BU1" s="215" t="s">
        <v>1310</v>
      </c>
      <c r="BV1" s="637"/>
      <c r="BW1" s="637"/>
      <c r="BX1" s="215" t="s">
        <v>1203</v>
      </c>
      <c r="BY1" s="215" t="s">
        <v>1312</v>
      </c>
      <c r="BZ1" s="637"/>
      <c r="CA1" s="215" t="s">
        <v>1204</v>
      </c>
      <c r="CB1" s="215" t="s">
        <v>1205</v>
      </c>
      <c r="CC1" s="215" t="s">
        <v>1206</v>
      </c>
      <c r="CD1" s="215" t="s">
        <v>1207</v>
      </c>
      <c r="CE1" s="215" t="s">
        <v>1208</v>
      </c>
      <c r="CF1" s="215" t="s">
        <v>1313</v>
      </c>
      <c r="CG1" s="637"/>
      <c r="CH1" s="637"/>
      <c r="CI1" s="215" t="s">
        <v>1209</v>
      </c>
      <c r="CJ1" s="215" t="s">
        <v>1314</v>
      </c>
      <c r="CK1" s="637"/>
      <c r="CL1" s="215" t="s">
        <v>1210</v>
      </c>
      <c r="CM1" s="215" t="s">
        <v>1211</v>
      </c>
      <c r="CN1" s="215" t="s">
        <v>1212</v>
      </c>
      <c r="CO1" s="215" t="s">
        <v>1213</v>
      </c>
      <c r="CP1" s="215" t="s">
        <v>1214</v>
      </c>
      <c r="CQ1" s="215" t="s">
        <v>1315</v>
      </c>
      <c r="CR1" s="637"/>
      <c r="CS1" s="637"/>
      <c r="CT1" s="215" t="s">
        <v>1215</v>
      </c>
      <c r="CU1" s="215" t="s">
        <v>1316</v>
      </c>
      <c r="CV1" s="637"/>
      <c r="CW1" s="215" t="s">
        <v>1216</v>
      </c>
      <c r="CX1" s="215" t="s">
        <v>1217</v>
      </c>
      <c r="CY1" s="215" t="s">
        <v>1218</v>
      </c>
      <c r="CZ1" s="215" t="s">
        <v>1222</v>
      </c>
      <c r="DA1" s="215" t="s">
        <v>1223</v>
      </c>
      <c r="DB1" s="215" t="s">
        <v>1317</v>
      </c>
      <c r="DC1" s="215" t="s">
        <v>1318</v>
      </c>
      <c r="DD1" s="215" t="s">
        <v>1319</v>
      </c>
      <c r="DE1" s="215" t="s">
        <v>1320</v>
      </c>
      <c r="DF1" s="215" t="s">
        <v>1224</v>
      </c>
      <c r="DG1" s="215" t="s">
        <v>1225</v>
      </c>
      <c r="DH1" s="215" t="s">
        <v>250</v>
      </c>
      <c r="DI1" s="215" t="s">
        <v>1219</v>
      </c>
      <c r="DJ1" s="215" t="s">
        <v>1220</v>
      </c>
      <c r="DK1" s="215" t="s">
        <v>1221</v>
      </c>
      <c r="DL1" s="215" t="s">
        <v>1222</v>
      </c>
      <c r="DM1" s="215" t="s">
        <v>1223</v>
      </c>
      <c r="DN1" s="215" t="s">
        <v>1224</v>
      </c>
      <c r="DO1" s="215" t="s">
        <v>1225</v>
      </c>
      <c r="DP1" s="215" t="s">
        <v>1226</v>
      </c>
      <c r="DQ1" s="215" t="s">
        <v>1227</v>
      </c>
      <c r="DR1" s="215" t="s">
        <v>1228</v>
      </c>
      <c r="DS1" s="215" t="s">
        <v>1229</v>
      </c>
      <c r="DT1" s="215" t="s">
        <v>1230</v>
      </c>
      <c r="DU1" s="215" t="s">
        <v>1233</v>
      </c>
      <c r="DV1" s="215" t="s">
        <v>238</v>
      </c>
      <c r="DW1" s="215" t="s">
        <v>706</v>
      </c>
      <c r="DX1" s="215" t="s">
        <v>707</v>
      </c>
      <c r="DY1" s="215" t="s">
        <v>708</v>
      </c>
      <c r="DZ1" s="215" t="s">
        <v>709</v>
      </c>
      <c r="EA1" s="215" t="s">
        <v>702</v>
      </c>
      <c r="EB1" s="215" t="s">
        <v>701</v>
      </c>
      <c r="EC1" s="215" t="s">
        <v>710</v>
      </c>
      <c r="ED1" s="215" t="s">
        <v>711</v>
      </c>
      <c r="EE1" s="215" t="s">
        <v>703</v>
      </c>
      <c r="EF1" s="215" t="s">
        <v>773</v>
      </c>
    </row>
    <row r="2" spans="1:138">
      <c r="A2">
        <f>'3_rezeptkarte'!C6</f>
        <v>0</v>
      </c>
      <c r="B2" s="584" t="str">
        <f>'3_rezeptkarte'!O6</f>
        <v/>
      </c>
      <c r="C2" t="str">
        <f>'3_rezeptkarte'!V6</f>
        <v/>
      </c>
      <c r="D2" t="str">
        <f>'3_rezeptkarte'!AB6</f>
        <v>Bitte wählen!</v>
      </c>
      <c r="E2" s="763" t="str">
        <f>'4a_sud-journal'!V79</f>
        <v/>
      </c>
      <c r="F2" t="str">
        <f>'5_gaerdiagramm'!F38</f>
        <v/>
      </c>
      <c r="G2" s="585" t="str">
        <f>'3_rezeptkarte'!T8</f>
        <v/>
      </c>
      <c r="H2" s="585" t="str">
        <f>'3_rezeptkarte'!AA8</f>
        <v/>
      </c>
      <c r="I2" s="585" t="str">
        <f>'3_rezeptkarte'!M13</f>
        <v/>
      </c>
      <c r="J2">
        <f>'3_rezeptkarte'!P11</f>
        <v>0</v>
      </c>
      <c r="K2">
        <f>'3_rezeptkarte'!X11</f>
        <v>0</v>
      </c>
      <c r="L2" t="str">
        <f>'3_rezeptkarte'!D19</f>
        <v>&lt;Malzsorte wählen&gt;</v>
      </c>
      <c r="M2">
        <f>'3_rezeptkarte'!O19</f>
        <v>0</v>
      </c>
      <c r="N2" t="str">
        <f>'3_rezeptkarte'!Q19</f>
        <v/>
      </c>
      <c r="O2" t="str">
        <f>'3_rezeptkarte'!D20</f>
        <v>&lt;Malzsorte wählen&gt;</v>
      </c>
      <c r="P2">
        <f>'3_rezeptkarte'!O20</f>
        <v>0</v>
      </c>
      <c r="Q2" t="str">
        <f>'3_rezeptkarte'!Q20</f>
        <v/>
      </c>
      <c r="R2" t="str">
        <f>'3_rezeptkarte'!D21</f>
        <v>&lt;Malzsorte wählen&gt;</v>
      </c>
      <c r="S2">
        <f>'3_rezeptkarte'!O21</f>
        <v>0</v>
      </c>
      <c r="T2" t="str">
        <f>'3_rezeptkarte'!Q21</f>
        <v/>
      </c>
      <c r="U2" t="str">
        <f>'3_rezeptkarte'!D22</f>
        <v>&lt;Malzsorte wählen&gt;</v>
      </c>
      <c r="V2">
        <f>'3_rezeptkarte'!O22</f>
        <v>0</v>
      </c>
      <c r="W2" t="str">
        <f>'3_rezeptkarte'!Q22</f>
        <v/>
      </c>
      <c r="X2" t="str">
        <f>'3_rezeptkarte'!D23</f>
        <v>&lt;Malzsorte wählen&gt;</v>
      </c>
      <c r="Y2">
        <f>'3_rezeptkarte'!O23</f>
        <v>0</v>
      </c>
      <c r="Z2" t="str">
        <f>'3_rezeptkarte'!Q23</f>
        <v/>
      </c>
      <c r="AA2" t="str">
        <f>'3_rezeptkarte'!D24</f>
        <v>&lt;Malzsorte wählen&gt;</v>
      </c>
      <c r="AB2">
        <f>'3_rezeptkarte'!O24</f>
        <v>0</v>
      </c>
      <c r="AC2" t="str">
        <f>'3_rezeptkarte'!Q24</f>
        <v/>
      </c>
      <c r="AD2" t="str">
        <f>'3_rezeptkarte'!O28</f>
        <v>Maischverfahren wählen</v>
      </c>
      <c r="AE2" t="str">
        <f>'3_rezeptkarte'!D30</f>
        <v>Temperatur</v>
      </c>
      <c r="AF2" s="585">
        <f>'3_rezeptkarte'!J30</f>
        <v>0</v>
      </c>
      <c r="AG2" s="585" t="str">
        <f>'3_rezeptkarte'!D31</f>
        <v>Temperatur</v>
      </c>
      <c r="AH2" s="585">
        <f>'3_rezeptkarte'!J31</f>
        <v>0</v>
      </c>
      <c r="AI2" t="str">
        <f>'3_rezeptkarte'!D32</f>
        <v>Temperatur</v>
      </c>
      <c r="AJ2" s="585">
        <f>'3_rezeptkarte'!J32</f>
        <v>0</v>
      </c>
      <c r="AK2" s="585" t="str">
        <f>'3_rezeptkarte'!L35</f>
        <v>wählen</v>
      </c>
      <c r="AL2" s="585">
        <f>'3_rezeptkarte'!R35</f>
        <v>0</v>
      </c>
      <c r="AM2" t="str">
        <f>'3_rezeptkarte'!D36</f>
        <v>Temperatur</v>
      </c>
      <c r="AN2" s="585">
        <f>'3_rezeptkarte'!J36</f>
        <v>0</v>
      </c>
      <c r="AO2" t="str">
        <f>'3_rezeptkarte'!D37</f>
        <v>Temperatur</v>
      </c>
      <c r="AP2" s="585">
        <f>'3_rezeptkarte'!J37</f>
        <v>0</v>
      </c>
      <c r="AQ2" t="str">
        <f>'3_rezeptkarte'!D38</f>
        <v>Temperatur</v>
      </c>
      <c r="AR2" s="585">
        <f>'3_rezeptkarte'!J38</f>
        <v>0</v>
      </c>
      <c r="AS2" t="str">
        <f>'3_rezeptkarte'!D40</f>
        <v>Temperatur</v>
      </c>
      <c r="AT2" s="585">
        <f>'3_rezeptkarte'!J40</f>
        <v>0</v>
      </c>
      <c r="AU2" t="str">
        <f>'3_rezeptkarte'!D41</f>
        <v>Temperatur</v>
      </c>
      <c r="AV2" s="585">
        <f>'3_rezeptkarte'!J41</f>
        <v>0</v>
      </c>
      <c r="AW2" s="585" t="str">
        <f>'3_rezeptkarte'!L43</f>
        <v>wählen</v>
      </c>
      <c r="AX2" s="585">
        <f>'3_rezeptkarte'!R43</f>
        <v>0</v>
      </c>
      <c r="AY2" t="str">
        <f>'3_rezeptkarte'!D44</f>
        <v>Temperatur</v>
      </c>
      <c r="AZ2" s="585">
        <f>'3_rezeptkarte'!J44</f>
        <v>0</v>
      </c>
      <c r="BA2" t="str">
        <f>'3_rezeptkarte'!D45</f>
        <v>Temperatur</v>
      </c>
      <c r="BB2" s="585">
        <f>'3_rezeptkarte'!J45</f>
        <v>0</v>
      </c>
      <c r="BC2" t="str">
        <f>'3_rezeptkarte'!D46</f>
        <v>Temperatur</v>
      </c>
      <c r="BD2" s="585">
        <f>'3_rezeptkarte'!J46</f>
        <v>0</v>
      </c>
      <c r="BE2" t="str">
        <f>'3_rezeptkarte'!D48</f>
        <v>Temperatur</v>
      </c>
      <c r="BF2" s="585">
        <f>'3_rezeptkarte'!J48</f>
        <v>0</v>
      </c>
      <c r="BG2" s="585">
        <f>'3_rezeptkarte'!N52</f>
        <v>0</v>
      </c>
      <c r="BH2" t="str">
        <f>'3_rezeptkarte'!J55</f>
        <v>&lt;Hopfensorte wählen&gt;</v>
      </c>
      <c r="BI2">
        <f>'3_rezeptkarte'!X55</f>
        <v>0</v>
      </c>
      <c r="BJ2" t="str">
        <f>'3_rezeptkarte'!AA55</f>
        <v>wählen</v>
      </c>
      <c r="BK2" s="636"/>
      <c r="BL2" s="636"/>
      <c r="BM2" t="str">
        <f>'3_rezeptkarte'!AT55</f>
        <v/>
      </c>
      <c r="BN2" t="str">
        <f>'3_rezeptkarte'!O56</f>
        <v>bitte wählen</v>
      </c>
      <c r="BO2" s="636"/>
      <c r="BP2" s="585">
        <f>'3_rezeptkarte'!X56</f>
        <v>0</v>
      </c>
      <c r="BQ2" s="765">
        <f>'3_rezeptkarte'!F56</f>
        <v>0</v>
      </c>
      <c r="BR2" s="585">
        <f>'3_rezeptkarte'!J56</f>
        <v>0</v>
      </c>
      <c r="BS2" t="str">
        <f>'3_rezeptkarte'!J58</f>
        <v>&lt;Hopfensorte wählen&gt;</v>
      </c>
      <c r="BT2">
        <f>'3_rezeptkarte'!X58</f>
        <v>0</v>
      </c>
      <c r="BU2" t="str">
        <f>'3_rezeptkarte'!AA58</f>
        <v>wählen</v>
      </c>
      <c r="BV2" s="636"/>
      <c r="BW2" s="636"/>
      <c r="BX2" t="str">
        <f>'3_rezeptkarte'!AT58</f>
        <v/>
      </c>
      <c r="BY2" t="str">
        <f>'3_rezeptkarte'!O59</f>
        <v>bitte wählen</v>
      </c>
      <c r="BZ2" s="636"/>
      <c r="CA2" s="585">
        <f>'3_rezeptkarte'!X59</f>
        <v>0</v>
      </c>
      <c r="CB2" s="765">
        <f>'3_rezeptkarte'!F59</f>
        <v>0</v>
      </c>
      <c r="CC2" s="585">
        <f>'3_rezeptkarte'!J59</f>
        <v>0</v>
      </c>
      <c r="CD2" t="str">
        <f>'3_rezeptkarte'!J61</f>
        <v>&lt;Hopfensorte wählen&gt;</v>
      </c>
      <c r="CE2">
        <f>'3_rezeptkarte'!X61</f>
        <v>0</v>
      </c>
      <c r="CF2" t="str">
        <f>'3_rezeptkarte'!AA61</f>
        <v>wählen</v>
      </c>
      <c r="CG2" s="636"/>
      <c r="CH2" s="636"/>
      <c r="CI2" t="str">
        <f>'3_rezeptkarte'!AT61</f>
        <v/>
      </c>
      <c r="CJ2" t="str">
        <f>'3_rezeptkarte'!O62</f>
        <v>bitte wählen</v>
      </c>
      <c r="CK2" s="636"/>
      <c r="CL2" s="585">
        <f>'3_rezeptkarte'!X62</f>
        <v>0</v>
      </c>
      <c r="CM2" s="765">
        <f>'3_rezeptkarte'!F62</f>
        <v>0</v>
      </c>
      <c r="CN2" s="585">
        <f>'3_rezeptkarte'!J62</f>
        <v>0</v>
      </c>
      <c r="CO2" t="str">
        <f>'3_rezeptkarte'!J64</f>
        <v>&lt;Hopfensorte wählen&gt;</v>
      </c>
      <c r="CP2">
        <f>'3_rezeptkarte'!X64</f>
        <v>0</v>
      </c>
      <c r="CQ2" t="str">
        <f>'3_rezeptkarte'!AA64</f>
        <v>wählen</v>
      </c>
      <c r="CR2" s="636"/>
      <c r="CS2" s="636"/>
      <c r="CT2" t="str">
        <f>'3_rezeptkarte'!AT64</f>
        <v/>
      </c>
      <c r="CU2" t="str">
        <f>'3_rezeptkarte'!O65</f>
        <v>bitte wählen</v>
      </c>
      <c r="CV2" s="636"/>
      <c r="CW2" s="585">
        <f>'3_rezeptkarte'!X65</f>
        <v>0</v>
      </c>
      <c r="CX2" s="765">
        <f>'3_rezeptkarte'!F65</f>
        <v>0</v>
      </c>
      <c r="CY2" s="585">
        <f>'3_rezeptkarte'!J65</f>
        <v>0</v>
      </c>
      <c r="CZ2" t="str">
        <f>'3_rezeptkarte'!J67</f>
        <v>&lt;Hopfensorte wählen&gt;</v>
      </c>
      <c r="DA2">
        <f>'3_rezeptkarte'!X67</f>
        <v>0</v>
      </c>
      <c r="DB2" t="str">
        <f>'3_rezeptkarte'!AA67</f>
        <v>wählen</v>
      </c>
      <c r="DC2" t="str">
        <f>'3_rezeptkarte'!AT67</f>
        <v/>
      </c>
      <c r="DD2" t="str">
        <f>'3_rezeptkarte'!O68</f>
        <v>bitte wählen</v>
      </c>
      <c r="DE2" s="585">
        <f>'3_rezeptkarte'!X68</f>
        <v>0</v>
      </c>
      <c r="DF2" s="765">
        <f>'3_rezeptkarte'!F68</f>
        <v>0</v>
      </c>
      <c r="DG2" s="585">
        <f>'3_rezeptkarte'!J68</f>
        <v>0</v>
      </c>
      <c r="DH2">
        <f>'3_rezeptkarte'!AG67</f>
        <v>0</v>
      </c>
      <c r="DI2">
        <f>'3_rezeptkarte'!T74</f>
        <v>0</v>
      </c>
      <c r="DJ2">
        <f>'3_rezeptkarte'!D79</f>
        <v>0</v>
      </c>
      <c r="DK2">
        <f>'3_rezeptkarte'!I79</f>
        <v>0</v>
      </c>
      <c r="DL2" t="str">
        <f>'3_rezeptkarte'!U78</f>
        <v>&lt;Hopfensorte wählen&gt;</v>
      </c>
      <c r="DM2">
        <f>'3_rezeptkarte'!AE78</f>
        <v>0</v>
      </c>
      <c r="DN2" s="765">
        <f>'3_rezeptkarte'!L78</f>
        <v>0</v>
      </c>
      <c r="DO2" s="585">
        <f>'3_rezeptkarte'!P78</f>
        <v>0</v>
      </c>
      <c r="DP2" t="str">
        <f>'3_rezeptkarte'!U79</f>
        <v>&lt;Hopfensorte wählen&gt;</v>
      </c>
      <c r="DQ2">
        <f>'3_rezeptkarte'!AE79</f>
        <v>0</v>
      </c>
      <c r="DR2" s="765">
        <f>'3_rezeptkarte'!L79</f>
        <v>0</v>
      </c>
      <c r="DS2" s="585">
        <f>'3_rezeptkarte'!P79</f>
        <v>0</v>
      </c>
      <c r="DT2" s="763">
        <f>'5_gaerdiagramm'!AL7</f>
        <v>0</v>
      </c>
      <c r="DU2" s="585">
        <f>'3_rezeptkarte'!U18</f>
        <v>0</v>
      </c>
      <c r="DV2" s="585">
        <f>'7_verkostungsbogen'!I35</f>
        <v>0</v>
      </c>
      <c r="DW2" s="585">
        <f>'7_verkostungsbogen'!J35</f>
        <v>0</v>
      </c>
      <c r="DX2" s="585">
        <f>'7_verkostungsbogen'!K35</f>
        <v>0</v>
      </c>
      <c r="DY2" s="585">
        <f>'7_verkostungsbogen'!L35</f>
        <v>0</v>
      </c>
      <c r="DZ2" s="585">
        <f>'7_verkostungsbogen'!M35</f>
        <v>0</v>
      </c>
      <c r="EA2" s="585">
        <f>'7_verkostungsbogen'!N35</f>
        <v>0</v>
      </c>
      <c r="EB2" s="585">
        <f>'7_verkostungsbogen'!O35</f>
        <v>0</v>
      </c>
      <c r="EC2" s="585">
        <f>'7_verkostungsbogen'!P35</f>
        <v>0</v>
      </c>
      <c r="ED2" s="585">
        <f>'7_verkostungsbogen'!Q35</f>
        <v>0</v>
      </c>
      <c r="EE2" s="585">
        <f>'7_verkostungsbogen'!R35</f>
        <v>0</v>
      </c>
      <c r="EF2">
        <f>'7_verkostungsbogen'!F67</f>
        <v>0</v>
      </c>
    </row>
    <row r="3" spans="1:138">
      <c r="A3" s="215"/>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c r="BT3" s="215"/>
      <c r="BU3" s="215"/>
      <c r="BV3" s="215"/>
      <c r="BW3" s="215"/>
      <c r="BX3" s="215"/>
      <c r="BY3" s="215"/>
      <c r="BZ3" s="215"/>
      <c r="CA3" s="215"/>
      <c r="CB3" s="215"/>
      <c r="CC3" s="215"/>
      <c r="CD3" s="215"/>
      <c r="CE3" s="215"/>
      <c r="CF3" s="215"/>
      <c r="CG3" s="215"/>
      <c r="CH3" s="215"/>
      <c r="CI3" s="215"/>
      <c r="CJ3" s="215"/>
      <c r="CK3" s="215"/>
      <c r="CL3" s="215"/>
      <c r="CM3" s="215"/>
      <c r="CN3" s="215"/>
      <c r="CO3" s="215"/>
      <c r="CP3" s="215"/>
      <c r="CQ3" s="215"/>
      <c r="CR3" s="215"/>
      <c r="CS3" s="215"/>
      <c r="CT3" s="215"/>
      <c r="CU3" s="215"/>
      <c r="CV3" s="215"/>
      <c r="CW3" s="215"/>
      <c r="CX3" s="215"/>
      <c r="CY3" s="215"/>
      <c r="CZ3" s="215"/>
      <c r="DA3" s="215"/>
      <c r="DB3" s="215"/>
      <c r="DC3" s="215"/>
      <c r="DD3" s="215"/>
      <c r="DE3" s="215"/>
      <c r="DF3" s="215"/>
      <c r="DG3" s="215"/>
      <c r="DH3" s="215"/>
      <c r="DI3" s="215"/>
      <c r="DJ3" s="215"/>
      <c r="DK3" s="215"/>
      <c r="DL3" s="215"/>
      <c r="DM3" s="215"/>
      <c r="DN3" s="215"/>
      <c r="DO3" s="215"/>
      <c r="DP3" s="215"/>
      <c r="DQ3" s="215"/>
      <c r="DR3" s="215"/>
      <c r="DS3" s="215"/>
      <c r="DT3" s="215"/>
      <c r="DU3" s="215"/>
      <c r="DV3" s="215"/>
      <c r="DW3" s="215"/>
      <c r="DX3" s="215"/>
      <c r="DY3" s="215"/>
      <c r="DZ3" s="215"/>
      <c r="EA3" s="215"/>
      <c r="EB3" s="215"/>
      <c r="EC3" s="215"/>
      <c r="ED3" s="215"/>
      <c r="EE3" s="215"/>
      <c r="EF3" s="215"/>
      <c r="EG3" s="215"/>
      <c r="EH3" s="215"/>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dimension ref="A1:B160"/>
  <sheetViews>
    <sheetView zoomScale="60" zoomScaleNormal="60" workbookViewId="0">
      <selection activeCell="F10" sqref="F10"/>
    </sheetView>
  </sheetViews>
  <sheetFormatPr baseColWidth="10" defaultRowHeight="13.2"/>
  <cols>
    <col min="2" max="2" width="7.88671875" customWidth="1"/>
  </cols>
  <sheetData>
    <row r="1" spans="1:2" ht="53.25" customHeight="1">
      <c r="A1" s="210">
        <v>1</v>
      </c>
      <c r="B1" s="210"/>
    </row>
    <row r="2" spans="1:2" ht="53.25" customHeight="1">
      <c r="A2" s="210">
        <v>2</v>
      </c>
      <c r="B2" s="210"/>
    </row>
    <row r="3" spans="1:2" ht="53.25" customHeight="1">
      <c r="A3" s="210">
        <v>3</v>
      </c>
      <c r="B3" s="210"/>
    </row>
    <row r="4" spans="1:2" ht="53.25" customHeight="1">
      <c r="A4" s="210">
        <v>4</v>
      </c>
      <c r="B4" s="210"/>
    </row>
    <row r="5" spans="1:2" ht="53.25" customHeight="1">
      <c r="A5" s="210">
        <v>5</v>
      </c>
      <c r="B5" s="210"/>
    </row>
    <row r="6" spans="1:2" ht="53.25" customHeight="1">
      <c r="A6" s="210">
        <v>6</v>
      </c>
      <c r="B6" s="210"/>
    </row>
    <row r="7" spans="1:2" ht="53.25" customHeight="1">
      <c r="A7" s="210">
        <v>7</v>
      </c>
      <c r="B7" s="210"/>
    </row>
    <row r="8" spans="1:2" ht="53.25" customHeight="1">
      <c r="A8" s="210">
        <v>8</v>
      </c>
      <c r="B8" s="210"/>
    </row>
    <row r="9" spans="1:2" ht="53.25" customHeight="1">
      <c r="A9" s="210">
        <v>9</v>
      </c>
      <c r="B9" s="210"/>
    </row>
    <row r="10" spans="1:2" ht="53.25" customHeight="1">
      <c r="A10" s="210">
        <v>10</v>
      </c>
      <c r="B10" s="210"/>
    </row>
    <row r="11" spans="1:2" ht="53.25" customHeight="1">
      <c r="A11" s="210">
        <v>11</v>
      </c>
      <c r="B11" s="210"/>
    </row>
    <row r="12" spans="1:2" ht="53.25" customHeight="1">
      <c r="A12" s="210">
        <v>12</v>
      </c>
      <c r="B12" s="210"/>
    </row>
    <row r="13" spans="1:2" ht="53.25" customHeight="1">
      <c r="A13" s="210">
        <v>13</v>
      </c>
      <c r="B13" s="210"/>
    </row>
    <row r="14" spans="1:2" ht="53.25" customHeight="1">
      <c r="A14" s="210">
        <v>14</v>
      </c>
      <c r="B14" s="210"/>
    </row>
    <row r="15" spans="1:2" ht="53.25" customHeight="1">
      <c r="A15" s="210">
        <v>15</v>
      </c>
      <c r="B15" s="210"/>
    </row>
    <row r="16" spans="1:2" ht="53.25" customHeight="1">
      <c r="A16" s="210">
        <v>16</v>
      </c>
      <c r="B16" s="210"/>
    </row>
    <row r="17" spans="1:2" ht="53.25" customHeight="1">
      <c r="A17" s="210">
        <v>17</v>
      </c>
      <c r="B17" s="210"/>
    </row>
    <row r="18" spans="1:2" ht="53.25" customHeight="1">
      <c r="A18" s="210">
        <v>18</v>
      </c>
      <c r="B18" s="210"/>
    </row>
    <row r="19" spans="1:2" ht="53.25" customHeight="1">
      <c r="A19" s="210">
        <v>19</v>
      </c>
      <c r="B19" s="210"/>
    </row>
    <row r="20" spans="1:2" ht="53.25" customHeight="1">
      <c r="A20" s="210">
        <v>20</v>
      </c>
      <c r="B20" s="210"/>
    </row>
    <row r="21" spans="1:2" ht="53.25" customHeight="1">
      <c r="A21" s="210">
        <v>21</v>
      </c>
      <c r="B21" s="210"/>
    </row>
    <row r="22" spans="1:2" ht="53.25" customHeight="1">
      <c r="A22" s="210">
        <v>22</v>
      </c>
      <c r="B22" s="210"/>
    </row>
    <row r="23" spans="1:2" ht="53.25" customHeight="1">
      <c r="A23" s="210">
        <v>23</v>
      </c>
      <c r="B23" s="210"/>
    </row>
    <row r="24" spans="1:2" ht="53.25" customHeight="1">
      <c r="A24" s="210">
        <v>24</v>
      </c>
      <c r="B24" s="210"/>
    </row>
    <row r="25" spans="1:2" ht="53.25" customHeight="1">
      <c r="A25" s="210">
        <v>25</v>
      </c>
      <c r="B25" s="210"/>
    </row>
    <row r="26" spans="1:2" ht="53.25" customHeight="1">
      <c r="A26" s="210">
        <v>26</v>
      </c>
      <c r="B26" s="210"/>
    </row>
    <row r="27" spans="1:2" ht="53.25" customHeight="1">
      <c r="A27" s="210">
        <v>27</v>
      </c>
      <c r="B27" s="210"/>
    </row>
    <row r="28" spans="1:2" ht="53.25" customHeight="1">
      <c r="A28" s="210">
        <v>28</v>
      </c>
      <c r="B28" s="210"/>
    </row>
    <row r="29" spans="1:2" ht="53.25" customHeight="1">
      <c r="A29" s="210">
        <v>29</v>
      </c>
      <c r="B29" s="210"/>
    </row>
    <row r="30" spans="1:2" ht="53.25" customHeight="1">
      <c r="A30" s="210">
        <v>30</v>
      </c>
      <c r="B30" s="210"/>
    </row>
    <row r="31" spans="1:2" ht="53.25" customHeight="1">
      <c r="A31" s="210">
        <v>31</v>
      </c>
      <c r="B31" s="210"/>
    </row>
    <row r="32" spans="1:2" ht="53.25" customHeight="1">
      <c r="A32" s="210">
        <v>32</v>
      </c>
      <c r="B32" s="210"/>
    </row>
    <row r="33" spans="1:2" ht="53.25" customHeight="1">
      <c r="A33" s="210">
        <v>33</v>
      </c>
      <c r="B33" s="210"/>
    </row>
    <row r="34" spans="1:2" ht="53.25" customHeight="1">
      <c r="A34" s="210">
        <v>34</v>
      </c>
      <c r="B34" s="210"/>
    </row>
    <row r="35" spans="1:2" ht="53.25" customHeight="1">
      <c r="A35" s="210">
        <v>35</v>
      </c>
      <c r="B35" s="210"/>
    </row>
    <row r="36" spans="1:2" ht="53.25" customHeight="1">
      <c r="A36" s="210">
        <v>36</v>
      </c>
      <c r="B36" s="210"/>
    </row>
    <row r="37" spans="1:2" ht="53.25" customHeight="1">
      <c r="A37" s="210">
        <v>37</v>
      </c>
      <c r="B37" s="210"/>
    </row>
    <row r="38" spans="1:2" ht="53.25" customHeight="1">
      <c r="A38" s="210">
        <v>38</v>
      </c>
      <c r="B38" s="210"/>
    </row>
    <row r="39" spans="1:2" ht="53.25" customHeight="1">
      <c r="A39" s="210">
        <v>39</v>
      </c>
      <c r="B39" s="210"/>
    </row>
    <row r="40" spans="1:2" ht="53.25" customHeight="1">
      <c r="A40" s="210">
        <v>40</v>
      </c>
      <c r="B40" s="210"/>
    </row>
    <row r="41" spans="1:2" ht="53.25" customHeight="1">
      <c r="A41" s="210">
        <v>41</v>
      </c>
      <c r="B41" s="210"/>
    </row>
    <row r="42" spans="1:2" ht="53.25" customHeight="1">
      <c r="A42" s="210">
        <v>42</v>
      </c>
      <c r="B42" s="210"/>
    </row>
    <row r="43" spans="1:2" ht="53.25" customHeight="1">
      <c r="A43" s="210">
        <v>43</v>
      </c>
      <c r="B43" s="210"/>
    </row>
    <row r="44" spans="1:2" ht="53.25" customHeight="1">
      <c r="A44" s="210">
        <v>44</v>
      </c>
      <c r="B44" s="210"/>
    </row>
    <row r="45" spans="1:2" ht="53.25" customHeight="1">
      <c r="A45" s="210">
        <v>45</v>
      </c>
      <c r="B45" s="210"/>
    </row>
    <row r="46" spans="1:2" ht="53.25" customHeight="1">
      <c r="A46" s="210">
        <v>46</v>
      </c>
      <c r="B46" s="210"/>
    </row>
    <row r="47" spans="1:2" ht="53.25" customHeight="1">
      <c r="A47" s="210">
        <v>47</v>
      </c>
      <c r="B47" s="210"/>
    </row>
    <row r="48" spans="1:2" ht="53.25" customHeight="1">
      <c r="A48" s="210">
        <v>48</v>
      </c>
      <c r="B48" s="210"/>
    </row>
    <row r="49" spans="1:2" ht="53.25" customHeight="1">
      <c r="A49" s="210">
        <v>49</v>
      </c>
      <c r="B49" s="210"/>
    </row>
    <row r="50" spans="1:2" ht="53.25" customHeight="1">
      <c r="A50" s="210">
        <v>50</v>
      </c>
      <c r="B50" s="210"/>
    </row>
    <row r="51" spans="1:2" ht="53.25" customHeight="1">
      <c r="A51" s="210">
        <v>51</v>
      </c>
      <c r="B51" s="210"/>
    </row>
    <row r="52" spans="1:2" ht="53.25" customHeight="1">
      <c r="A52" s="210">
        <v>52</v>
      </c>
      <c r="B52" s="210"/>
    </row>
    <row r="53" spans="1:2" ht="53.25" customHeight="1">
      <c r="A53" s="210">
        <v>53</v>
      </c>
      <c r="B53" s="210"/>
    </row>
    <row r="54" spans="1:2" ht="53.25" customHeight="1">
      <c r="A54" s="210">
        <v>54</v>
      </c>
      <c r="B54" s="210"/>
    </row>
    <row r="55" spans="1:2" ht="53.25" customHeight="1">
      <c r="A55" s="210">
        <v>55</v>
      </c>
      <c r="B55" s="210"/>
    </row>
    <row r="56" spans="1:2" ht="53.25" customHeight="1">
      <c r="A56" s="210">
        <v>56</v>
      </c>
      <c r="B56" s="210"/>
    </row>
    <row r="57" spans="1:2" ht="53.25" customHeight="1">
      <c r="A57" s="210">
        <v>57</v>
      </c>
      <c r="B57" s="210"/>
    </row>
    <row r="58" spans="1:2" ht="53.25" customHeight="1">
      <c r="A58" s="210">
        <v>58</v>
      </c>
      <c r="B58" s="210"/>
    </row>
    <row r="59" spans="1:2" ht="53.25" customHeight="1">
      <c r="A59" s="210">
        <v>59</v>
      </c>
      <c r="B59" s="210"/>
    </row>
    <row r="60" spans="1:2" ht="53.25" customHeight="1">
      <c r="A60" s="210">
        <v>60</v>
      </c>
      <c r="B60" s="210"/>
    </row>
    <row r="61" spans="1:2" ht="53.25" customHeight="1">
      <c r="A61" s="210">
        <v>61</v>
      </c>
      <c r="B61" s="210"/>
    </row>
    <row r="62" spans="1:2" ht="53.25" customHeight="1">
      <c r="A62" s="210">
        <v>62</v>
      </c>
      <c r="B62" s="210"/>
    </row>
    <row r="63" spans="1:2" ht="53.25" customHeight="1">
      <c r="A63" s="210">
        <v>63</v>
      </c>
      <c r="B63" s="210"/>
    </row>
    <row r="64" spans="1:2" ht="53.25" customHeight="1">
      <c r="A64" s="210">
        <v>64</v>
      </c>
      <c r="B64" s="210"/>
    </row>
    <row r="65" spans="1:2" ht="53.25" customHeight="1">
      <c r="A65" s="210">
        <v>65</v>
      </c>
      <c r="B65" s="210"/>
    </row>
    <row r="66" spans="1:2" ht="53.25" customHeight="1">
      <c r="A66" s="210">
        <v>66</v>
      </c>
      <c r="B66" s="210"/>
    </row>
    <row r="67" spans="1:2" ht="53.25" customHeight="1">
      <c r="A67" s="210">
        <v>67</v>
      </c>
      <c r="B67" s="210"/>
    </row>
    <row r="68" spans="1:2" ht="53.25" customHeight="1">
      <c r="A68" s="210">
        <v>68</v>
      </c>
      <c r="B68" s="210"/>
    </row>
    <row r="69" spans="1:2" ht="53.25" customHeight="1">
      <c r="A69" s="210">
        <v>69</v>
      </c>
      <c r="B69" s="210"/>
    </row>
    <row r="70" spans="1:2" ht="53.25" customHeight="1">
      <c r="A70" s="210">
        <v>70</v>
      </c>
      <c r="B70" s="210"/>
    </row>
    <row r="71" spans="1:2" ht="53.25" customHeight="1">
      <c r="A71" s="210">
        <v>71</v>
      </c>
      <c r="B71" s="210"/>
    </row>
    <row r="72" spans="1:2" ht="53.25" customHeight="1">
      <c r="A72" s="210">
        <v>72</v>
      </c>
      <c r="B72" s="210"/>
    </row>
    <row r="73" spans="1:2" ht="53.25" customHeight="1">
      <c r="A73" s="210">
        <v>73</v>
      </c>
      <c r="B73" s="210"/>
    </row>
    <row r="74" spans="1:2" ht="53.25" customHeight="1">
      <c r="A74" s="210">
        <v>74</v>
      </c>
      <c r="B74" s="210"/>
    </row>
    <row r="75" spans="1:2" ht="53.25" customHeight="1">
      <c r="A75" s="210">
        <v>75</v>
      </c>
      <c r="B75" s="210"/>
    </row>
    <row r="76" spans="1:2" ht="53.25" customHeight="1">
      <c r="A76" s="210">
        <v>76</v>
      </c>
      <c r="B76" s="210"/>
    </row>
    <row r="77" spans="1:2" ht="53.25" customHeight="1">
      <c r="A77" s="210">
        <v>77</v>
      </c>
      <c r="B77" s="210"/>
    </row>
    <row r="78" spans="1:2" ht="53.25" customHeight="1">
      <c r="A78" s="210">
        <v>78</v>
      </c>
      <c r="B78" s="210"/>
    </row>
    <row r="79" spans="1:2" ht="53.25" customHeight="1">
      <c r="A79" s="210">
        <v>79</v>
      </c>
      <c r="B79" s="210"/>
    </row>
    <row r="80" spans="1:2" ht="53.25" customHeight="1">
      <c r="A80" s="210">
        <v>80</v>
      </c>
      <c r="B80" s="210"/>
    </row>
    <row r="81" spans="1:2" ht="53.25" customHeight="1">
      <c r="A81" s="210">
        <v>81</v>
      </c>
      <c r="B81" s="210"/>
    </row>
    <row r="82" spans="1:2" ht="53.25" customHeight="1">
      <c r="A82" s="210">
        <v>82</v>
      </c>
      <c r="B82" s="210"/>
    </row>
    <row r="83" spans="1:2" ht="53.25" customHeight="1">
      <c r="A83" s="210">
        <v>83</v>
      </c>
      <c r="B83" s="210"/>
    </row>
    <row r="84" spans="1:2" ht="53.25" customHeight="1">
      <c r="A84" s="210">
        <v>84</v>
      </c>
      <c r="B84" s="210"/>
    </row>
    <row r="85" spans="1:2" ht="53.25" customHeight="1">
      <c r="A85" s="210">
        <v>85</v>
      </c>
      <c r="B85" s="210"/>
    </row>
    <row r="86" spans="1:2" ht="53.25" customHeight="1">
      <c r="A86" s="210">
        <v>86</v>
      </c>
      <c r="B86" s="210"/>
    </row>
    <row r="87" spans="1:2" ht="53.25" customHeight="1">
      <c r="A87" s="210">
        <v>87</v>
      </c>
      <c r="B87" s="210"/>
    </row>
    <row r="88" spans="1:2" ht="53.25" customHeight="1">
      <c r="A88" s="210">
        <v>88</v>
      </c>
      <c r="B88" s="210"/>
    </row>
    <row r="89" spans="1:2" ht="53.25" customHeight="1">
      <c r="A89" s="210">
        <v>89</v>
      </c>
      <c r="B89" s="210"/>
    </row>
    <row r="90" spans="1:2" ht="53.25" customHeight="1">
      <c r="A90" s="210">
        <v>90</v>
      </c>
      <c r="B90" s="210"/>
    </row>
    <row r="91" spans="1:2" ht="53.25" customHeight="1">
      <c r="A91" s="210">
        <v>91</v>
      </c>
      <c r="B91" s="210"/>
    </row>
    <row r="92" spans="1:2" ht="53.25" customHeight="1">
      <c r="A92" s="210">
        <v>92</v>
      </c>
      <c r="B92" s="210"/>
    </row>
    <row r="93" spans="1:2" ht="53.25" customHeight="1">
      <c r="A93" s="210">
        <v>93</v>
      </c>
      <c r="B93" s="210"/>
    </row>
    <row r="94" spans="1:2" ht="53.25" customHeight="1">
      <c r="A94" s="210">
        <v>94</v>
      </c>
      <c r="B94" s="210"/>
    </row>
    <row r="95" spans="1:2" ht="53.25" customHeight="1">
      <c r="A95" s="210">
        <v>95</v>
      </c>
      <c r="B95" s="210"/>
    </row>
    <row r="96" spans="1:2" ht="53.25" customHeight="1">
      <c r="A96" s="210">
        <v>96</v>
      </c>
      <c r="B96" s="210"/>
    </row>
    <row r="97" spans="1:2" ht="53.25" customHeight="1">
      <c r="A97" s="210">
        <v>97</v>
      </c>
      <c r="B97" s="210"/>
    </row>
    <row r="98" spans="1:2" ht="53.25" customHeight="1">
      <c r="A98" s="210">
        <v>98</v>
      </c>
      <c r="B98" s="210"/>
    </row>
    <row r="99" spans="1:2" ht="53.25" customHeight="1">
      <c r="A99" s="210">
        <v>99</v>
      </c>
      <c r="B99" s="210"/>
    </row>
    <row r="100" spans="1:2" ht="53.25" customHeight="1">
      <c r="A100" s="210">
        <v>100</v>
      </c>
      <c r="B100" s="210"/>
    </row>
    <row r="101" spans="1:2" ht="53.25" customHeight="1">
      <c r="A101">
        <v>101</v>
      </c>
      <c r="B101" s="210"/>
    </row>
    <row r="102" spans="1:2" ht="53.25" customHeight="1">
      <c r="A102">
        <v>102</v>
      </c>
      <c r="B102" s="210"/>
    </row>
    <row r="103" spans="1:2" ht="53.25" customHeight="1">
      <c r="A103">
        <v>103</v>
      </c>
      <c r="B103" s="210"/>
    </row>
    <row r="104" spans="1:2" ht="53.25" customHeight="1">
      <c r="A104">
        <v>104</v>
      </c>
      <c r="B104" s="210"/>
    </row>
    <row r="105" spans="1:2" ht="53.25" customHeight="1">
      <c r="A105">
        <v>105</v>
      </c>
      <c r="B105" s="210"/>
    </row>
    <row r="106" spans="1:2" ht="53.25" customHeight="1">
      <c r="A106">
        <v>106</v>
      </c>
      <c r="B106" s="210"/>
    </row>
    <row r="107" spans="1:2" ht="53.25" customHeight="1">
      <c r="A107">
        <v>107</v>
      </c>
      <c r="B107" s="210"/>
    </row>
    <row r="108" spans="1:2" ht="53.25" customHeight="1">
      <c r="A108">
        <v>108</v>
      </c>
      <c r="B108" s="210"/>
    </row>
    <row r="109" spans="1:2" ht="53.25" customHeight="1">
      <c r="A109">
        <v>109</v>
      </c>
      <c r="B109" s="210"/>
    </row>
    <row r="110" spans="1:2" ht="53.25" customHeight="1">
      <c r="A110">
        <v>110</v>
      </c>
      <c r="B110" s="210"/>
    </row>
    <row r="111" spans="1:2" ht="53.25" customHeight="1">
      <c r="A111">
        <v>111</v>
      </c>
      <c r="B111" s="210"/>
    </row>
    <row r="112" spans="1:2" ht="53.25" customHeight="1">
      <c r="A112">
        <v>112</v>
      </c>
      <c r="B112" s="210"/>
    </row>
    <row r="113" spans="1:2" ht="53.25" customHeight="1">
      <c r="A113">
        <v>113</v>
      </c>
      <c r="B113" s="210"/>
    </row>
    <row r="114" spans="1:2" ht="53.25" customHeight="1">
      <c r="A114">
        <v>114</v>
      </c>
      <c r="B114" s="210"/>
    </row>
    <row r="115" spans="1:2" ht="53.25" customHeight="1">
      <c r="A115">
        <v>115</v>
      </c>
      <c r="B115" s="210"/>
    </row>
    <row r="116" spans="1:2" ht="53.25" customHeight="1">
      <c r="A116">
        <v>116</v>
      </c>
      <c r="B116" s="210"/>
    </row>
    <row r="117" spans="1:2" ht="53.25" customHeight="1">
      <c r="A117">
        <v>117</v>
      </c>
      <c r="B117" s="210"/>
    </row>
    <row r="118" spans="1:2" ht="53.25" customHeight="1">
      <c r="A118">
        <v>118</v>
      </c>
      <c r="B118" s="210"/>
    </row>
    <row r="119" spans="1:2" ht="53.25" customHeight="1">
      <c r="A119">
        <v>119</v>
      </c>
      <c r="B119" s="210"/>
    </row>
    <row r="120" spans="1:2" ht="53.25" customHeight="1">
      <c r="A120">
        <v>120</v>
      </c>
      <c r="B120" s="210"/>
    </row>
    <row r="121" spans="1:2" ht="53.25" customHeight="1">
      <c r="A121">
        <v>121</v>
      </c>
      <c r="B121" s="210"/>
    </row>
    <row r="122" spans="1:2" ht="53.25" customHeight="1">
      <c r="A122">
        <v>122</v>
      </c>
      <c r="B122" s="210"/>
    </row>
    <row r="123" spans="1:2" ht="53.25" customHeight="1">
      <c r="A123">
        <v>123</v>
      </c>
      <c r="B123" s="210"/>
    </row>
    <row r="124" spans="1:2" ht="53.25" customHeight="1">
      <c r="A124">
        <v>124</v>
      </c>
      <c r="B124" s="210"/>
    </row>
    <row r="125" spans="1:2" ht="53.25" customHeight="1">
      <c r="A125">
        <v>125</v>
      </c>
      <c r="B125" s="210"/>
    </row>
    <row r="126" spans="1:2" ht="53.25" customHeight="1">
      <c r="A126">
        <v>126</v>
      </c>
      <c r="B126" s="210"/>
    </row>
    <row r="127" spans="1:2" ht="53.25" customHeight="1">
      <c r="A127">
        <v>127</v>
      </c>
      <c r="B127" s="210"/>
    </row>
    <row r="128" spans="1:2" ht="53.25" customHeight="1">
      <c r="A128">
        <v>128</v>
      </c>
      <c r="B128" s="210"/>
    </row>
    <row r="129" spans="1:2" ht="53.25" customHeight="1">
      <c r="A129">
        <v>129</v>
      </c>
      <c r="B129" s="210"/>
    </row>
    <row r="130" spans="1:2" ht="53.25" customHeight="1">
      <c r="A130">
        <v>130</v>
      </c>
      <c r="B130" s="210"/>
    </row>
    <row r="131" spans="1:2" ht="53.25" customHeight="1">
      <c r="A131">
        <v>131</v>
      </c>
      <c r="B131" s="210"/>
    </row>
    <row r="132" spans="1:2" ht="53.25" customHeight="1">
      <c r="A132">
        <v>132</v>
      </c>
      <c r="B132" s="210"/>
    </row>
    <row r="133" spans="1:2" ht="53.25" customHeight="1">
      <c r="A133">
        <v>133</v>
      </c>
      <c r="B133" s="210"/>
    </row>
    <row r="134" spans="1:2" ht="53.25" customHeight="1">
      <c r="A134">
        <v>134</v>
      </c>
      <c r="B134" s="210"/>
    </row>
    <row r="135" spans="1:2" ht="53.25" customHeight="1">
      <c r="A135">
        <v>135</v>
      </c>
      <c r="B135" s="210"/>
    </row>
    <row r="136" spans="1:2" ht="53.25" customHeight="1">
      <c r="A136">
        <v>136</v>
      </c>
      <c r="B136" s="210"/>
    </row>
    <row r="137" spans="1:2" ht="53.25" customHeight="1">
      <c r="A137">
        <v>137</v>
      </c>
      <c r="B137" s="210"/>
    </row>
    <row r="138" spans="1:2" ht="53.25" customHeight="1">
      <c r="A138">
        <v>138</v>
      </c>
      <c r="B138" s="210"/>
    </row>
    <row r="139" spans="1:2" ht="53.25" customHeight="1">
      <c r="A139">
        <v>139</v>
      </c>
      <c r="B139" s="210"/>
    </row>
    <row r="140" spans="1:2" ht="53.25" customHeight="1">
      <c r="A140">
        <v>140</v>
      </c>
      <c r="B140" s="210"/>
    </row>
    <row r="141" spans="1:2" ht="53.25" customHeight="1">
      <c r="A141">
        <v>141</v>
      </c>
      <c r="B141" s="210"/>
    </row>
    <row r="142" spans="1:2" ht="53.25" customHeight="1">
      <c r="A142">
        <v>142</v>
      </c>
      <c r="B142" s="210"/>
    </row>
    <row r="143" spans="1:2" ht="53.25" customHeight="1">
      <c r="A143">
        <v>143</v>
      </c>
      <c r="B143" s="210"/>
    </row>
    <row r="144" spans="1:2" ht="53.25" customHeight="1">
      <c r="A144">
        <v>144</v>
      </c>
      <c r="B144" s="210"/>
    </row>
    <row r="145" spans="1:2" ht="53.25" customHeight="1">
      <c r="A145">
        <v>145</v>
      </c>
      <c r="B145" s="210"/>
    </row>
    <row r="146" spans="1:2" ht="53.25" customHeight="1">
      <c r="A146">
        <v>146</v>
      </c>
      <c r="B146" s="210"/>
    </row>
    <row r="147" spans="1:2" ht="53.25" customHeight="1">
      <c r="A147">
        <v>147</v>
      </c>
      <c r="B147" s="210"/>
    </row>
    <row r="148" spans="1:2" ht="53.25" customHeight="1">
      <c r="A148">
        <v>148</v>
      </c>
      <c r="B148" s="210"/>
    </row>
    <row r="149" spans="1:2" ht="53.25" customHeight="1">
      <c r="A149">
        <v>149</v>
      </c>
      <c r="B149" s="210"/>
    </row>
    <row r="150" spans="1:2" ht="53.25" customHeight="1">
      <c r="A150">
        <v>150</v>
      </c>
      <c r="B150" s="210"/>
    </row>
    <row r="151" spans="1:2" ht="53.25" customHeight="1">
      <c r="A151">
        <v>151</v>
      </c>
      <c r="B151" s="210"/>
    </row>
    <row r="152" spans="1:2" ht="53.25" customHeight="1">
      <c r="A152">
        <v>152</v>
      </c>
      <c r="B152" s="210"/>
    </row>
    <row r="153" spans="1:2" ht="53.25" customHeight="1">
      <c r="A153">
        <v>153</v>
      </c>
      <c r="B153" s="210"/>
    </row>
    <row r="154" spans="1:2" ht="53.25" customHeight="1">
      <c r="A154">
        <v>154</v>
      </c>
      <c r="B154" s="210"/>
    </row>
    <row r="155" spans="1:2" ht="53.25" customHeight="1">
      <c r="A155">
        <v>155</v>
      </c>
      <c r="B155" s="210"/>
    </row>
    <row r="156" spans="1:2" ht="53.25" customHeight="1">
      <c r="A156">
        <v>156</v>
      </c>
      <c r="B156" s="210"/>
    </row>
    <row r="157" spans="1:2" ht="53.25" customHeight="1">
      <c r="A157">
        <v>157</v>
      </c>
      <c r="B157" s="210"/>
    </row>
    <row r="158" spans="1:2" ht="53.25" customHeight="1">
      <c r="A158">
        <v>158</v>
      </c>
      <c r="B158" s="210"/>
    </row>
    <row r="159" spans="1:2" ht="53.25" customHeight="1">
      <c r="A159">
        <v>159</v>
      </c>
      <c r="B159" s="210"/>
    </row>
    <row r="160" spans="1:2" ht="53.25" customHeight="1">
      <c r="A160">
        <v>160</v>
      </c>
      <c r="B160" s="210"/>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9"/>
  <dimension ref="B2:I248"/>
  <sheetViews>
    <sheetView showGridLines="0" showRowColHeaders="0" zoomScaleNormal="100" workbookViewId="0">
      <selection activeCell="H2" sqref="H2"/>
    </sheetView>
  </sheetViews>
  <sheetFormatPr baseColWidth="10" defaultColWidth="11.44140625" defaultRowHeight="13.8"/>
  <cols>
    <col min="1" max="1" width="2.5546875" style="497" customWidth="1"/>
    <col min="2" max="2" width="12" style="524" customWidth="1"/>
    <col min="3" max="3" width="22.88671875" style="497" customWidth="1"/>
    <col min="4" max="4" width="12.44140625" style="525" customWidth="1"/>
    <col min="5" max="5" width="40.5546875" style="497" customWidth="1"/>
    <col min="6" max="6" width="2.88671875" style="497" customWidth="1"/>
    <col min="7" max="9" width="3.109375" style="497" customWidth="1"/>
    <col min="10" max="16384" width="11.44140625" style="497"/>
  </cols>
  <sheetData>
    <row r="2" spans="2:9" ht="15">
      <c r="B2" s="783">
        <v>43590</v>
      </c>
      <c r="C2" s="784" t="s">
        <v>873</v>
      </c>
      <c r="D2" s="785">
        <v>43556</v>
      </c>
      <c r="E2" s="786"/>
      <c r="G2" s="519"/>
      <c r="H2" s="439" t="s">
        <v>832</v>
      </c>
      <c r="I2" s="520"/>
    </row>
    <row r="3" spans="2:9" ht="15">
      <c r="B3" s="783"/>
      <c r="C3" s="788" t="s">
        <v>1291</v>
      </c>
      <c r="D3" s="785"/>
      <c r="E3" s="786"/>
      <c r="G3" s="440"/>
      <c r="H3" s="521"/>
      <c r="I3" s="442" t="s">
        <v>242</v>
      </c>
    </row>
    <row r="4" spans="2:9">
      <c r="B4" s="783"/>
      <c r="C4" s="786" t="s">
        <v>700</v>
      </c>
      <c r="D4" s="785"/>
      <c r="E4" s="786"/>
    </row>
    <row r="5" spans="2:9">
      <c r="B5" s="783"/>
      <c r="C5" s="789" t="s">
        <v>849</v>
      </c>
      <c r="D5" s="785"/>
      <c r="E5" s="786"/>
    </row>
    <row r="6" spans="2:9">
      <c r="B6" s="783"/>
      <c r="C6" s="790" t="s">
        <v>1342</v>
      </c>
      <c r="D6" s="785"/>
      <c r="E6" s="786"/>
    </row>
    <row r="7" spans="2:9">
      <c r="B7" s="783"/>
      <c r="C7" s="789" t="s">
        <v>243</v>
      </c>
      <c r="D7" s="785"/>
      <c r="E7" s="786"/>
    </row>
    <row r="8" spans="2:9">
      <c r="B8" s="783"/>
      <c r="C8" s="789" t="s">
        <v>169</v>
      </c>
      <c r="D8" s="785"/>
      <c r="E8" s="786"/>
    </row>
    <row r="9" spans="2:9">
      <c r="B9" s="783"/>
      <c r="C9" s="789" t="s">
        <v>258</v>
      </c>
      <c r="D9" s="785"/>
      <c r="E9" s="786"/>
    </row>
    <row r="10" spans="2:9">
      <c r="B10" s="783"/>
      <c r="C10" s="790" t="s">
        <v>1322</v>
      </c>
      <c r="D10" s="785"/>
      <c r="E10" s="786"/>
    </row>
    <row r="11" spans="2:9">
      <c r="B11" s="783"/>
      <c r="C11" s="790" t="s">
        <v>1321</v>
      </c>
      <c r="D11" s="785"/>
      <c r="E11" s="786"/>
    </row>
    <row r="12" spans="2:9">
      <c r="B12" s="783"/>
      <c r="C12" s="789" t="s">
        <v>190</v>
      </c>
      <c r="D12" s="785"/>
      <c r="E12" s="786"/>
    </row>
    <row r="13" spans="2:9">
      <c r="B13" s="783"/>
      <c r="C13" s="790" t="s">
        <v>1337</v>
      </c>
      <c r="D13" s="785"/>
      <c r="E13" s="786"/>
    </row>
    <row r="15" spans="2:9">
      <c r="B15" s="783">
        <v>43556</v>
      </c>
      <c r="C15" s="784" t="s">
        <v>873</v>
      </c>
      <c r="D15" s="785">
        <v>43546</v>
      </c>
      <c r="E15" s="786"/>
    </row>
    <row r="16" spans="2:9">
      <c r="B16" s="783"/>
      <c r="C16" s="787" t="s">
        <v>261</v>
      </c>
      <c r="D16" s="785"/>
      <c r="E16" s="786"/>
    </row>
    <row r="17" spans="2:5">
      <c r="B17" s="783"/>
      <c r="C17" s="786" t="s">
        <v>1240</v>
      </c>
      <c r="D17" s="785"/>
      <c r="E17" s="786"/>
    </row>
    <row r="18" spans="2:5">
      <c r="B18" s="783"/>
      <c r="C18" s="788" t="s">
        <v>1238</v>
      </c>
      <c r="D18" s="785"/>
      <c r="E18" s="786"/>
    </row>
    <row r="19" spans="2:5">
      <c r="B19" s="783"/>
      <c r="C19" s="786" t="s">
        <v>1239</v>
      </c>
      <c r="D19" s="785"/>
      <c r="E19" s="786"/>
    </row>
    <row r="20" spans="2:5">
      <c r="B20" s="783"/>
      <c r="C20" s="789" t="s">
        <v>849</v>
      </c>
      <c r="D20" s="785"/>
      <c r="E20" s="786"/>
    </row>
    <row r="21" spans="2:5">
      <c r="B21" s="783"/>
      <c r="C21" s="790" t="s">
        <v>945</v>
      </c>
      <c r="D21" s="785"/>
      <c r="E21" s="786"/>
    </row>
    <row r="22" spans="2:5">
      <c r="B22" s="783"/>
      <c r="C22" s="789" t="s">
        <v>243</v>
      </c>
      <c r="D22" s="785"/>
      <c r="E22" s="786"/>
    </row>
    <row r="23" spans="2:5">
      <c r="B23" s="783"/>
      <c r="C23" s="790" t="s">
        <v>1137</v>
      </c>
      <c r="D23" s="785"/>
      <c r="E23" s="786"/>
    </row>
    <row r="24" spans="2:5">
      <c r="B24" s="783"/>
      <c r="C24" s="789" t="s">
        <v>699</v>
      </c>
      <c r="D24" s="785"/>
      <c r="E24" s="786"/>
    </row>
    <row r="25" spans="2:5">
      <c r="B25" s="783"/>
      <c r="C25" s="790" t="s">
        <v>1141</v>
      </c>
      <c r="D25" s="785"/>
      <c r="E25" s="786"/>
    </row>
    <row r="27" spans="2:5">
      <c r="B27" s="783">
        <v>43546</v>
      </c>
      <c r="C27" s="784" t="s">
        <v>873</v>
      </c>
      <c r="D27" s="785">
        <v>43525</v>
      </c>
      <c r="E27" s="786"/>
    </row>
    <row r="28" spans="2:5">
      <c r="B28" s="783"/>
      <c r="C28" s="789" t="s">
        <v>864</v>
      </c>
      <c r="D28" s="785"/>
      <c r="E28" s="786"/>
    </row>
    <row r="29" spans="2:5">
      <c r="B29" s="783"/>
      <c r="C29" s="790" t="s">
        <v>865</v>
      </c>
      <c r="D29" s="785"/>
      <c r="E29" s="786"/>
    </row>
    <row r="30" spans="2:5">
      <c r="B30" s="783"/>
      <c r="C30" s="789" t="s">
        <v>849</v>
      </c>
      <c r="D30" s="785"/>
      <c r="E30" s="786"/>
    </row>
    <row r="31" spans="2:5">
      <c r="B31" s="783"/>
      <c r="C31" s="790" t="s">
        <v>850</v>
      </c>
      <c r="D31" s="785"/>
      <c r="E31" s="786"/>
    </row>
    <row r="32" spans="2:5">
      <c r="B32" s="783"/>
      <c r="C32" s="789" t="s">
        <v>243</v>
      </c>
      <c r="D32" s="785"/>
      <c r="E32" s="786"/>
    </row>
    <row r="33" spans="2:5">
      <c r="B33" s="783"/>
      <c r="C33" s="790" t="s">
        <v>879</v>
      </c>
      <c r="D33" s="785"/>
      <c r="E33" s="786"/>
    </row>
    <row r="34" spans="2:5">
      <c r="B34" s="783"/>
      <c r="C34" s="790" t="s">
        <v>881</v>
      </c>
      <c r="D34" s="785"/>
      <c r="E34" s="786"/>
    </row>
    <row r="35" spans="2:5">
      <c r="B35" s="783"/>
      <c r="C35" s="789" t="s">
        <v>169</v>
      </c>
      <c r="D35" s="785"/>
      <c r="E35" s="786"/>
    </row>
    <row r="36" spans="2:5">
      <c r="B36" s="783"/>
      <c r="C36" s="789" t="s">
        <v>258</v>
      </c>
      <c r="D36" s="785"/>
      <c r="E36" s="786"/>
    </row>
    <row r="37" spans="2:5">
      <c r="B37" s="783"/>
      <c r="C37" s="790" t="s">
        <v>939</v>
      </c>
      <c r="D37" s="785"/>
      <c r="E37" s="786"/>
    </row>
    <row r="38" spans="2:5">
      <c r="B38" s="783"/>
      <c r="C38" s="790" t="s">
        <v>940</v>
      </c>
      <c r="D38" s="785"/>
      <c r="E38" s="786"/>
    </row>
    <row r="39" spans="2:5">
      <c r="B39" s="783"/>
      <c r="C39" s="789" t="s">
        <v>190</v>
      </c>
      <c r="D39" s="785"/>
      <c r="E39" s="786"/>
    </row>
    <row r="40" spans="2:5">
      <c r="B40" s="783"/>
      <c r="C40" s="790" t="s">
        <v>853</v>
      </c>
      <c r="D40" s="785"/>
      <c r="E40" s="786"/>
    </row>
    <row r="41" spans="2:5">
      <c r="B41" s="783"/>
      <c r="C41" s="790" t="s">
        <v>884</v>
      </c>
      <c r="D41" s="785"/>
      <c r="E41" s="786"/>
    </row>
    <row r="42" spans="2:5">
      <c r="B42" s="783"/>
      <c r="C42" s="789" t="s">
        <v>194</v>
      </c>
      <c r="D42" s="785"/>
      <c r="E42" s="786"/>
    </row>
    <row r="43" spans="2:5">
      <c r="B43" s="783"/>
      <c r="C43" s="790" t="s">
        <v>851</v>
      </c>
      <c r="D43" s="785"/>
      <c r="E43" s="786"/>
    </row>
    <row r="44" spans="2:5">
      <c r="B44" s="783"/>
      <c r="C44" s="789" t="s">
        <v>771</v>
      </c>
      <c r="D44" s="785"/>
      <c r="E44" s="786"/>
    </row>
    <row r="45" spans="2:5">
      <c r="B45" s="783"/>
      <c r="C45" s="790" t="s">
        <v>880</v>
      </c>
      <c r="D45" s="785"/>
      <c r="E45" s="786"/>
    </row>
    <row r="46" spans="2:5">
      <c r="B46" s="783"/>
      <c r="C46" s="790" t="s">
        <v>852</v>
      </c>
      <c r="D46" s="785"/>
      <c r="E46" s="786"/>
    </row>
    <row r="48" spans="2:5">
      <c r="B48" s="783">
        <v>43525</v>
      </c>
      <c r="C48" s="784" t="s">
        <v>873</v>
      </c>
      <c r="D48" s="785">
        <v>43489</v>
      </c>
      <c r="E48" s="786"/>
    </row>
    <row r="49" spans="2:5">
      <c r="B49" s="783"/>
      <c r="C49" s="791" t="s">
        <v>261</v>
      </c>
      <c r="D49" s="785"/>
      <c r="E49" s="786"/>
    </row>
    <row r="50" spans="2:5">
      <c r="B50" s="783"/>
      <c r="C50" s="790" t="s">
        <v>833</v>
      </c>
      <c r="D50" s="785"/>
      <c r="E50" s="786"/>
    </row>
    <row r="51" spans="2:5">
      <c r="B51" s="783"/>
      <c r="C51" s="789" t="s">
        <v>243</v>
      </c>
      <c r="D51" s="785"/>
      <c r="E51" s="786"/>
    </row>
    <row r="52" spans="2:5">
      <c r="B52" s="783"/>
      <c r="C52" s="789" t="s">
        <v>169</v>
      </c>
      <c r="D52" s="785"/>
      <c r="E52" s="786"/>
    </row>
    <row r="53" spans="2:5">
      <c r="B53" s="783"/>
      <c r="C53" s="789" t="s">
        <v>258</v>
      </c>
      <c r="D53" s="785"/>
      <c r="E53" s="786"/>
    </row>
    <row r="54" spans="2:5">
      <c r="B54" s="783"/>
      <c r="C54" s="790" t="s">
        <v>815</v>
      </c>
      <c r="D54" s="785"/>
      <c r="E54" s="786"/>
    </row>
    <row r="55" spans="2:5">
      <c r="B55" s="783"/>
      <c r="C55" s="789" t="s">
        <v>169</v>
      </c>
      <c r="D55" s="785"/>
      <c r="E55" s="786"/>
    </row>
    <row r="56" spans="2:5">
      <c r="B56" s="783"/>
      <c r="C56" s="790" t="s">
        <v>829</v>
      </c>
      <c r="D56" s="785"/>
      <c r="E56" s="786"/>
    </row>
    <row r="58" spans="2:5">
      <c r="B58" s="783">
        <v>43489</v>
      </c>
      <c r="C58" s="784" t="s">
        <v>873</v>
      </c>
      <c r="D58" s="785">
        <v>43369</v>
      </c>
      <c r="E58" s="786"/>
    </row>
    <row r="59" spans="2:5">
      <c r="B59" s="783"/>
      <c r="C59" s="789" t="s">
        <v>235</v>
      </c>
      <c r="D59" s="785"/>
      <c r="E59" s="786"/>
    </row>
    <row r="60" spans="2:5">
      <c r="B60" s="783"/>
      <c r="C60" s="790" t="s">
        <v>809</v>
      </c>
      <c r="D60" s="785"/>
      <c r="E60" s="786"/>
    </row>
    <row r="61" spans="2:5">
      <c r="B61" s="783"/>
      <c r="C61" s="790" t="s">
        <v>808</v>
      </c>
      <c r="D61" s="785"/>
      <c r="E61" s="786"/>
    </row>
    <row r="63" spans="2:5" ht="13.5" customHeight="1">
      <c r="B63" s="783">
        <v>43369</v>
      </c>
      <c r="C63" s="784" t="s">
        <v>873</v>
      </c>
      <c r="D63" s="785">
        <v>43320</v>
      </c>
      <c r="E63" s="786"/>
    </row>
    <row r="64" spans="2:5">
      <c r="B64" s="792"/>
      <c r="C64" s="789" t="s">
        <v>235</v>
      </c>
      <c r="D64" s="793"/>
      <c r="E64" s="786"/>
    </row>
    <row r="65" spans="2:5">
      <c r="B65" s="792"/>
      <c r="C65" s="786" t="s">
        <v>794</v>
      </c>
      <c r="D65" s="793"/>
      <c r="E65" s="786"/>
    </row>
    <row r="66" spans="2:5">
      <c r="B66" s="792"/>
      <c r="C66" s="789" t="s">
        <v>243</v>
      </c>
      <c r="D66" s="793"/>
      <c r="E66" s="786"/>
    </row>
    <row r="67" spans="2:5">
      <c r="B67" s="792"/>
      <c r="C67" s="786" t="s">
        <v>777</v>
      </c>
      <c r="D67" s="793"/>
      <c r="E67" s="786"/>
    </row>
    <row r="68" spans="2:5">
      <c r="B68" s="792"/>
      <c r="C68" s="786" t="s">
        <v>778</v>
      </c>
      <c r="D68" s="793"/>
      <c r="E68" s="786"/>
    </row>
    <row r="69" spans="2:5">
      <c r="B69" s="792"/>
      <c r="C69" s="786" t="s">
        <v>795</v>
      </c>
      <c r="D69" s="793"/>
      <c r="E69" s="786"/>
    </row>
    <row r="70" spans="2:5">
      <c r="B70" s="792"/>
      <c r="C70" s="786" t="s">
        <v>794</v>
      </c>
      <c r="D70" s="793"/>
      <c r="E70" s="786"/>
    </row>
    <row r="71" spans="2:5">
      <c r="B71" s="792"/>
      <c r="C71" s="789" t="s">
        <v>771</v>
      </c>
      <c r="D71" s="793"/>
      <c r="E71" s="786"/>
    </row>
    <row r="72" spans="2:5" ht="13.5" customHeight="1">
      <c r="B72" s="792"/>
      <c r="C72" s="786" t="s">
        <v>790</v>
      </c>
      <c r="D72" s="793"/>
      <c r="E72" s="786"/>
    </row>
    <row r="73" spans="2:5">
      <c r="B73" s="792"/>
      <c r="C73" s="786" t="s">
        <v>772</v>
      </c>
      <c r="D73" s="793"/>
      <c r="E73" s="786"/>
    </row>
    <row r="74" spans="2:5">
      <c r="B74" s="792"/>
      <c r="C74" s="788" t="s">
        <v>791</v>
      </c>
      <c r="D74" s="793"/>
      <c r="E74" s="786"/>
    </row>
    <row r="75" spans="2:5">
      <c r="B75" s="792"/>
      <c r="C75" s="786" t="s">
        <v>700</v>
      </c>
      <c r="D75" s="793"/>
      <c r="E75" s="786"/>
    </row>
    <row r="76" spans="2:5">
      <c r="B76" s="792"/>
      <c r="C76" s="789" t="s">
        <v>699</v>
      </c>
      <c r="D76" s="793"/>
      <c r="E76" s="786"/>
    </row>
    <row r="77" spans="2:5">
      <c r="B77" s="792"/>
      <c r="C77" s="786" t="s">
        <v>700</v>
      </c>
      <c r="D77" s="793"/>
      <c r="E77" s="786"/>
    </row>
    <row r="78" spans="2:5">
      <c r="B78" s="792"/>
      <c r="C78" s="788" t="s">
        <v>792</v>
      </c>
      <c r="D78" s="793"/>
      <c r="E78" s="786"/>
    </row>
    <row r="79" spans="2:5">
      <c r="B79" s="792"/>
      <c r="C79" s="786" t="s">
        <v>700</v>
      </c>
      <c r="D79" s="793"/>
      <c r="E79" s="786"/>
    </row>
    <row r="81" spans="2:5">
      <c r="B81" s="783">
        <v>43320</v>
      </c>
      <c r="C81" s="784" t="s">
        <v>873</v>
      </c>
      <c r="D81" s="785">
        <v>43263</v>
      </c>
      <c r="E81" s="786"/>
    </row>
    <row r="82" spans="2:5">
      <c r="B82" s="783"/>
      <c r="C82" s="789" t="s">
        <v>235</v>
      </c>
      <c r="D82" s="785"/>
      <c r="E82" s="786"/>
    </row>
    <row r="83" spans="2:5">
      <c r="B83" s="783"/>
      <c r="C83" s="786" t="s">
        <v>355</v>
      </c>
      <c r="D83" s="785"/>
      <c r="E83" s="786"/>
    </row>
    <row r="84" spans="2:5">
      <c r="B84" s="783"/>
      <c r="C84" s="788" t="s">
        <v>256</v>
      </c>
      <c r="D84" s="785"/>
      <c r="E84" s="786"/>
    </row>
    <row r="85" spans="2:5">
      <c r="B85" s="783"/>
      <c r="C85" s="786" t="s">
        <v>356</v>
      </c>
      <c r="D85" s="785"/>
      <c r="E85" s="786"/>
    </row>
    <row r="86" spans="2:5">
      <c r="B86" s="783"/>
      <c r="C86" s="786" t="s">
        <v>796</v>
      </c>
      <c r="D86" s="785"/>
      <c r="E86" s="786"/>
    </row>
    <row r="87" spans="2:5">
      <c r="B87" s="783"/>
      <c r="C87" s="789" t="s">
        <v>243</v>
      </c>
      <c r="D87" s="785"/>
      <c r="E87" s="786"/>
    </row>
    <row r="88" spans="2:5">
      <c r="B88" s="783"/>
      <c r="C88" s="786" t="s">
        <v>697</v>
      </c>
      <c r="D88" s="785"/>
      <c r="E88" s="786"/>
    </row>
    <row r="89" spans="2:5">
      <c r="B89" s="783"/>
      <c r="C89" s="786" t="s">
        <v>299</v>
      </c>
      <c r="D89" s="785"/>
      <c r="E89" s="786"/>
    </row>
    <row r="90" spans="2:5">
      <c r="B90" s="783"/>
      <c r="C90" s="786" t="s">
        <v>300</v>
      </c>
      <c r="D90" s="785"/>
      <c r="E90" s="786"/>
    </row>
    <row r="91" spans="2:5">
      <c r="B91" s="783"/>
      <c r="C91" s="789" t="s">
        <v>169</v>
      </c>
      <c r="D91" s="785"/>
      <c r="E91" s="786"/>
    </row>
    <row r="92" spans="2:5">
      <c r="B92" s="783"/>
      <c r="C92" s="789" t="s">
        <v>258</v>
      </c>
      <c r="D92" s="785"/>
      <c r="E92" s="786"/>
    </row>
    <row r="93" spans="2:5">
      <c r="B93" s="783"/>
      <c r="C93" s="786" t="s">
        <v>697</v>
      </c>
      <c r="D93" s="785"/>
      <c r="E93" s="786"/>
    </row>
    <row r="94" spans="2:5">
      <c r="B94" s="783"/>
      <c r="C94" s="789" t="s">
        <v>190</v>
      </c>
      <c r="D94" s="785"/>
      <c r="E94" s="786"/>
    </row>
    <row r="95" spans="2:5">
      <c r="B95" s="783"/>
      <c r="C95" s="786" t="s">
        <v>694</v>
      </c>
      <c r="D95" s="785"/>
      <c r="E95" s="786"/>
    </row>
    <row r="96" spans="2:5">
      <c r="B96" s="783"/>
      <c r="C96" s="786" t="s">
        <v>695</v>
      </c>
      <c r="D96" s="785"/>
      <c r="E96" s="786"/>
    </row>
    <row r="97" spans="2:5">
      <c r="B97" s="783"/>
      <c r="C97" s="788" t="s">
        <v>199</v>
      </c>
      <c r="D97" s="785"/>
      <c r="E97" s="786"/>
    </row>
    <row r="98" spans="2:5">
      <c r="B98" s="783"/>
      <c r="C98" s="786" t="s">
        <v>349</v>
      </c>
      <c r="D98" s="785"/>
      <c r="E98" s="786"/>
    </row>
    <row r="100" spans="2:5">
      <c r="B100" s="783">
        <v>43263</v>
      </c>
      <c r="C100" s="784" t="s">
        <v>873</v>
      </c>
      <c r="D100" s="785">
        <v>43230</v>
      </c>
      <c r="E100" s="786"/>
    </row>
    <row r="101" spans="2:5">
      <c r="B101" s="783"/>
      <c r="C101" s="789" t="s">
        <v>243</v>
      </c>
      <c r="D101" s="785"/>
      <c r="E101" s="786"/>
    </row>
    <row r="102" spans="2:5">
      <c r="B102" s="783"/>
      <c r="C102" s="786" t="s">
        <v>291</v>
      </c>
      <c r="D102" s="785"/>
      <c r="E102" s="786"/>
    </row>
    <row r="103" spans="2:5">
      <c r="B103" s="783"/>
      <c r="C103" s="786" t="s">
        <v>292</v>
      </c>
      <c r="D103" s="785"/>
      <c r="E103" s="786"/>
    </row>
    <row r="104" spans="2:5">
      <c r="B104" s="783"/>
      <c r="C104" s="789" t="s">
        <v>190</v>
      </c>
      <c r="D104" s="785"/>
      <c r="E104" s="786"/>
    </row>
    <row r="105" spans="2:5">
      <c r="B105" s="783"/>
      <c r="C105" s="786" t="s">
        <v>294</v>
      </c>
      <c r="D105" s="785"/>
      <c r="E105" s="786"/>
    </row>
    <row r="106" spans="2:5">
      <c r="B106" s="783"/>
      <c r="C106" s="789" t="s">
        <v>194</v>
      </c>
      <c r="D106" s="785"/>
      <c r="E106" s="786"/>
    </row>
    <row r="107" spans="2:5">
      <c r="B107" s="783"/>
      <c r="C107" s="786" t="s">
        <v>293</v>
      </c>
      <c r="D107" s="785"/>
      <c r="E107" s="786"/>
    </row>
    <row r="108" spans="2:5">
      <c r="B108" s="783"/>
      <c r="C108" s="786" t="s">
        <v>291</v>
      </c>
      <c r="D108" s="785"/>
      <c r="E108" s="786"/>
    </row>
    <row r="110" spans="2:5">
      <c r="B110" s="783">
        <v>43230</v>
      </c>
      <c r="C110" s="784" t="s">
        <v>873</v>
      </c>
      <c r="D110" s="785">
        <v>43058</v>
      </c>
      <c r="E110" s="786"/>
    </row>
    <row r="111" spans="2:5">
      <c r="B111" s="783"/>
      <c r="C111" s="789" t="s">
        <v>169</v>
      </c>
      <c r="D111" s="785"/>
      <c r="E111" s="786"/>
    </row>
    <row r="112" spans="2:5">
      <c r="B112" s="783"/>
      <c r="C112" s="789" t="s">
        <v>258</v>
      </c>
      <c r="D112" s="785"/>
      <c r="E112" s="786"/>
    </row>
    <row r="113" spans="2:5">
      <c r="B113" s="783"/>
      <c r="C113" s="786" t="s">
        <v>288</v>
      </c>
      <c r="D113" s="785"/>
      <c r="E113" s="786"/>
    </row>
    <row r="115" spans="2:5">
      <c r="B115" s="783">
        <v>43058</v>
      </c>
      <c r="C115" s="784" t="s">
        <v>873</v>
      </c>
      <c r="D115" s="785">
        <v>43032</v>
      </c>
      <c r="E115" s="786"/>
    </row>
    <row r="116" spans="2:5">
      <c r="B116" s="783"/>
      <c r="C116" s="789" t="s">
        <v>169</v>
      </c>
      <c r="D116" s="785"/>
      <c r="E116" s="786"/>
    </row>
    <row r="117" spans="2:5">
      <c r="B117" s="783"/>
      <c r="C117" s="786" t="s">
        <v>284</v>
      </c>
      <c r="D117" s="785"/>
      <c r="E117" s="786"/>
    </row>
    <row r="118" spans="2:5">
      <c r="B118" s="783"/>
      <c r="C118" s="789" t="s">
        <v>258</v>
      </c>
      <c r="D118" s="785"/>
      <c r="E118" s="786"/>
    </row>
    <row r="119" spans="2:5">
      <c r="B119" s="783"/>
      <c r="C119" s="786" t="s">
        <v>284</v>
      </c>
      <c r="D119" s="785"/>
      <c r="E119" s="786"/>
    </row>
    <row r="120" spans="2:5">
      <c r="B120" s="783"/>
      <c r="C120" s="786" t="s">
        <v>285</v>
      </c>
      <c r="D120" s="785"/>
      <c r="E120" s="786"/>
    </row>
    <row r="121" spans="2:5">
      <c r="B121" s="783"/>
      <c r="C121" s="786" t="s">
        <v>286</v>
      </c>
      <c r="D121" s="785"/>
      <c r="E121" s="786"/>
    </row>
    <row r="123" spans="2:5">
      <c r="B123" s="783">
        <v>43032</v>
      </c>
      <c r="C123" s="784" t="s">
        <v>873</v>
      </c>
      <c r="D123" s="785">
        <v>42861</v>
      </c>
      <c r="E123" s="786"/>
    </row>
    <row r="124" spans="2:5">
      <c r="B124" s="783"/>
      <c r="C124" s="789" t="s">
        <v>243</v>
      </c>
      <c r="D124" s="785"/>
      <c r="E124" s="786"/>
    </row>
    <row r="125" spans="2:5">
      <c r="B125" s="783"/>
      <c r="C125" s="786" t="s">
        <v>274</v>
      </c>
      <c r="D125" s="785"/>
      <c r="E125" s="786"/>
    </row>
    <row r="126" spans="2:5">
      <c r="B126" s="783"/>
      <c r="C126" s="789" t="s">
        <v>169</v>
      </c>
      <c r="D126" s="785"/>
      <c r="E126" s="786"/>
    </row>
    <row r="127" spans="2:5">
      <c r="B127" s="783"/>
      <c r="C127" s="786" t="s">
        <v>274</v>
      </c>
      <c r="D127" s="785"/>
      <c r="E127" s="786"/>
    </row>
    <row r="128" spans="2:5">
      <c r="B128" s="783"/>
      <c r="C128" s="786" t="s">
        <v>275</v>
      </c>
      <c r="D128" s="785"/>
      <c r="E128" s="786"/>
    </row>
    <row r="129" spans="2:5">
      <c r="B129" s="783"/>
      <c r="C129" s="789" t="s">
        <v>258</v>
      </c>
      <c r="D129" s="785"/>
      <c r="E129" s="786"/>
    </row>
    <row r="130" spans="2:5">
      <c r="B130" s="783"/>
      <c r="C130" s="786" t="s">
        <v>274</v>
      </c>
      <c r="D130" s="785"/>
      <c r="E130" s="786"/>
    </row>
    <row r="131" spans="2:5">
      <c r="B131" s="783"/>
      <c r="C131" s="786" t="s">
        <v>276</v>
      </c>
      <c r="D131" s="785"/>
      <c r="E131" s="786"/>
    </row>
    <row r="132" spans="2:5">
      <c r="B132" s="783"/>
      <c r="C132" s="786" t="s">
        <v>275</v>
      </c>
      <c r="D132" s="785"/>
      <c r="E132" s="786"/>
    </row>
    <row r="134" spans="2:5">
      <c r="B134" s="783">
        <v>42861</v>
      </c>
      <c r="C134" s="784" t="s">
        <v>873</v>
      </c>
      <c r="D134" s="785">
        <v>42799</v>
      </c>
      <c r="E134" s="786"/>
    </row>
    <row r="135" spans="2:5">
      <c r="B135" s="783"/>
      <c r="C135" s="789" t="s">
        <v>243</v>
      </c>
      <c r="D135" s="785"/>
      <c r="E135" s="786"/>
    </row>
    <row r="136" spans="2:5">
      <c r="B136" s="783"/>
      <c r="C136" s="786" t="s">
        <v>268</v>
      </c>
      <c r="D136" s="785"/>
      <c r="E136" s="786"/>
    </row>
    <row r="138" spans="2:5">
      <c r="B138" s="783">
        <v>42799</v>
      </c>
      <c r="C138" s="784" t="s">
        <v>873</v>
      </c>
      <c r="D138" s="785">
        <v>42022</v>
      </c>
      <c r="E138" s="786"/>
    </row>
    <row r="139" spans="2:5">
      <c r="B139" s="783"/>
      <c r="C139" s="787" t="s">
        <v>261</v>
      </c>
      <c r="D139" s="785"/>
      <c r="E139" s="786"/>
    </row>
    <row r="140" spans="2:5">
      <c r="B140" s="783"/>
      <c r="C140" s="786" t="s">
        <v>262</v>
      </c>
      <c r="D140" s="785"/>
      <c r="E140" s="786"/>
    </row>
    <row r="141" spans="2:5">
      <c r="B141" s="783"/>
      <c r="C141" s="788" t="s">
        <v>264</v>
      </c>
      <c r="D141" s="785"/>
      <c r="E141" s="786"/>
    </row>
    <row r="142" spans="2:5">
      <c r="B142" s="783"/>
      <c r="C142" s="786" t="s">
        <v>265</v>
      </c>
      <c r="D142" s="785"/>
      <c r="E142" s="786"/>
    </row>
    <row r="143" spans="2:5">
      <c r="B143" s="783"/>
      <c r="C143" s="789" t="s">
        <v>243</v>
      </c>
      <c r="D143" s="785"/>
      <c r="E143" s="786"/>
    </row>
    <row r="144" spans="2:5">
      <c r="B144" s="783"/>
      <c r="C144" s="786" t="s">
        <v>267</v>
      </c>
      <c r="D144" s="785"/>
      <c r="E144" s="786"/>
    </row>
    <row r="145" spans="2:5">
      <c r="B145" s="783"/>
      <c r="C145" s="789" t="s">
        <v>169</v>
      </c>
      <c r="D145" s="785"/>
      <c r="E145" s="786"/>
    </row>
    <row r="146" spans="2:5">
      <c r="B146" s="783"/>
      <c r="C146" s="786" t="s">
        <v>260</v>
      </c>
      <c r="D146" s="785"/>
      <c r="E146" s="786"/>
    </row>
    <row r="147" spans="2:5">
      <c r="B147" s="783"/>
      <c r="C147" s="789" t="s">
        <v>258</v>
      </c>
      <c r="D147" s="785"/>
      <c r="E147" s="786"/>
    </row>
    <row r="148" spans="2:5">
      <c r="B148" s="783"/>
      <c r="C148" s="786" t="s">
        <v>266</v>
      </c>
      <c r="D148" s="785"/>
      <c r="E148" s="786"/>
    </row>
    <row r="149" spans="2:5">
      <c r="B149" s="783"/>
      <c r="C149" s="789" t="s">
        <v>190</v>
      </c>
      <c r="D149" s="785"/>
      <c r="E149" s="786"/>
    </row>
    <row r="150" spans="2:5">
      <c r="B150" s="783"/>
      <c r="C150" s="786" t="s">
        <v>259</v>
      </c>
      <c r="D150" s="785"/>
      <c r="E150" s="786"/>
    </row>
    <row r="151" spans="2:5">
      <c r="B151" s="783"/>
      <c r="C151" s="789" t="s">
        <v>194</v>
      </c>
      <c r="D151" s="785"/>
      <c r="E151" s="786"/>
    </row>
    <row r="152" spans="2:5">
      <c r="B152" s="783"/>
      <c r="C152" s="786" t="s">
        <v>259</v>
      </c>
      <c r="D152" s="785"/>
      <c r="E152" s="786"/>
    </row>
    <row r="154" spans="2:5">
      <c r="B154" s="783">
        <v>42022</v>
      </c>
      <c r="C154" s="784" t="s">
        <v>873</v>
      </c>
      <c r="D154" s="785">
        <v>41791</v>
      </c>
      <c r="E154" s="786"/>
    </row>
    <row r="155" spans="2:5">
      <c r="B155" s="783"/>
      <c r="C155" s="788" t="s">
        <v>256</v>
      </c>
      <c r="D155" s="785"/>
      <c r="E155" s="786"/>
    </row>
    <row r="156" spans="2:5">
      <c r="B156" s="783"/>
      <c r="C156" s="786" t="s">
        <v>257</v>
      </c>
      <c r="D156" s="785"/>
      <c r="E156" s="786"/>
    </row>
    <row r="157" spans="2:5">
      <c r="B157" s="783"/>
      <c r="C157" s="789" t="s">
        <v>169</v>
      </c>
      <c r="D157" s="785"/>
      <c r="E157" s="786"/>
    </row>
    <row r="158" spans="2:5">
      <c r="B158" s="783"/>
      <c r="C158" s="786" t="s">
        <v>247</v>
      </c>
      <c r="D158" s="785"/>
      <c r="E158" s="786"/>
    </row>
    <row r="159" spans="2:5">
      <c r="B159" s="783"/>
      <c r="C159" s="786" t="s">
        <v>248</v>
      </c>
      <c r="D159" s="785"/>
      <c r="E159" s="786"/>
    </row>
    <row r="160" spans="2:5">
      <c r="B160" s="783"/>
      <c r="C160" s="786" t="s">
        <v>244</v>
      </c>
      <c r="D160" s="785"/>
      <c r="E160" s="786"/>
    </row>
    <row r="161" spans="2:5">
      <c r="B161" s="783"/>
      <c r="C161" s="786" t="s">
        <v>249</v>
      </c>
      <c r="D161" s="785"/>
      <c r="E161" s="786"/>
    </row>
    <row r="162" spans="2:5">
      <c r="B162" s="783"/>
      <c r="C162" s="786" t="s">
        <v>251</v>
      </c>
      <c r="D162" s="785"/>
      <c r="E162" s="786"/>
    </row>
    <row r="164" spans="2:5">
      <c r="B164" s="783">
        <v>41791</v>
      </c>
      <c r="C164" s="784" t="s">
        <v>873</v>
      </c>
      <c r="D164" s="785">
        <v>41638</v>
      </c>
      <c r="E164" s="786"/>
    </row>
    <row r="165" spans="2:5">
      <c r="B165" s="783"/>
      <c r="C165" s="789" t="s">
        <v>243</v>
      </c>
      <c r="D165" s="785"/>
      <c r="E165" s="786"/>
    </row>
    <row r="166" spans="2:5">
      <c r="B166" s="783"/>
      <c r="C166" s="786" t="s">
        <v>244</v>
      </c>
      <c r="D166" s="785"/>
      <c r="E166" s="786"/>
    </row>
    <row r="168" spans="2:5">
      <c r="B168" s="783">
        <v>41638</v>
      </c>
      <c r="C168" s="784" t="s">
        <v>873</v>
      </c>
      <c r="D168" s="785">
        <v>41446</v>
      </c>
      <c r="E168" s="786"/>
    </row>
    <row r="169" spans="2:5">
      <c r="B169" s="783"/>
      <c r="C169" s="786" t="s">
        <v>227</v>
      </c>
      <c r="D169" s="785"/>
      <c r="E169" s="786"/>
    </row>
    <row r="170" spans="2:5">
      <c r="B170" s="783"/>
      <c r="C170" s="789" t="s">
        <v>235</v>
      </c>
      <c r="D170" s="785"/>
      <c r="E170" s="786"/>
    </row>
    <row r="171" spans="2:5">
      <c r="B171" s="783"/>
      <c r="C171" s="786" t="s">
        <v>236</v>
      </c>
      <c r="D171" s="785"/>
      <c r="E171" s="786"/>
    </row>
    <row r="172" spans="2:5">
      <c r="B172" s="783"/>
      <c r="C172" s="788" t="s">
        <v>256</v>
      </c>
      <c r="D172" s="785"/>
      <c r="E172" s="786"/>
    </row>
    <row r="173" spans="2:5">
      <c r="B173" s="783"/>
      <c r="C173" s="786" t="s">
        <v>237</v>
      </c>
      <c r="D173" s="785"/>
      <c r="E173" s="786"/>
    </row>
    <row r="174" spans="2:5">
      <c r="B174" s="783"/>
      <c r="C174" s="789" t="s">
        <v>169</v>
      </c>
      <c r="D174" s="785"/>
      <c r="E174" s="786"/>
    </row>
    <row r="175" spans="2:5">
      <c r="B175" s="783"/>
      <c r="C175" s="786" t="s">
        <v>240</v>
      </c>
      <c r="D175" s="785"/>
      <c r="E175" s="786"/>
    </row>
    <row r="176" spans="2:5">
      <c r="B176" s="783"/>
      <c r="C176" s="786" t="s">
        <v>231</v>
      </c>
      <c r="D176" s="785"/>
      <c r="E176" s="786"/>
    </row>
    <row r="177" spans="2:5">
      <c r="B177" s="783"/>
      <c r="C177" s="786" t="s">
        <v>232</v>
      </c>
      <c r="D177" s="785"/>
      <c r="E177" s="786"/>
    </row>
    <row r="178" spans="2:5">
      <c r="B178" s="783"/>
      <c r="C178" s="786" t="s">
        <v>241</v>
      </c>
      <c r="D178" s="785"/>
      <c r="E178" s="786"/>
    </row>
    <row r="179" spans="2:5">
      <c r="B179" s="783"/>
      <c r="C179" s="786" t="s">
        <v>233</v>
      </c>
      <c r="D179" s="785"/>
      <c r="E179" s="786"/>
    </row>
    <row r="180" spans="2:5">
      <c r="B180" s="783"/>
      <c r="C180" s="786" t="s">
        <v>234</v>
      </c>
      <c r="D180" s="785"/>
      <c r="E180" s="786"/>
    </row>
    <row r="181" spans="2:5">
      <c r="B181" s="783"/>
      <c r="C181" s="789" t="s">
        <v>190</v>
      </c>
      <c r="D181" s="785"/>
      <c r="E181" s="786"/>
    </row>
    <row r="182" spans="2:5">
      <c r="B182" s="783"/>
      <c r="C182" s="786" t="s">
        <v>234</v>
      </c>
      <c r="D182" s="785"/>
      <c r="E182" s="786"/>
    </row>
    <row r="183" spans="2:5">
      <c r="B183" s="783"/>
      <c r="C183" s="789" t="s">
        <v>194</v>
      </c>
      <c r="D183" s="785"/>
      <c r="E183" s="786"/>
    </row>
    <row r="184" spans="2:5">
      <c r="B184" s="783"/>
      <c r="C184" s="786" t="s">
        <v>234</v>
      </c>
      <c r="D184" s="785"/>
      <c r="E184" s="786"/>
    </row>
    <row r="185" spans="2:5">
      <c r="B185" s="783"/>
      <c r="C185" s="788" t="s">
        <v>199</v>
      </c>
      <c r="D185" s="785"/>
      <c r="E185" s="786"/>
    </row>
    <row r="186" spans="2:5">
      <c r="B186" s="783"/>
      <c r="C186" s="786" t="s">
        <v>234</v>
      </c>
      <c r="D186" s="785"/>
      <c r="E186" s="786"/>
    </row>
    <row r="188" spans="2:5">
      <c r="B188" s="783">
        <v>41446</v>
      </c>
      <c r="C188" s="784" t="s">
        <v>873</v>
      </c>
      <c r="D188" s="785">
        <v>41419</v>
      </c>
      <c r="E188" s="786"/>
    </row>
    <row r="189" spans="2:5">
      <c r="B189" s="783"/>
      <c r="C189" s="789" t="s">
        <v>169</v>
      </c>
      <c r="D189" s="785"/>
      <c r="E189" s="786"/>
    </row>
    <row r="190" spans="2:5">
      <c r="B190" s="783"/>
      <c r="C190" s="786" t="s">
        <v>215</v>
      </c>
      <c r="D190" s="785"/>
      <c r="E190" s="786"/>
    </row>
    <row r="191" spans="2:5">
      <c r="B191" s="783"/>
      <c r="C191" s="786" t="s">
        <v>217</v>
      </c>
      <c r="D191" s="785"/>
      <c r="E191" s="786"/>
    </row>
    <row r="192" spans="2:5">
      <c r="B192" s="783"/>
      <c r="C192" s="786" t="s">
        <v>218</v>
      </c>
      <c r="D192" s="785"/>
      <c r="E192" s="786"/>
    </row>
    <row r="193" spans="2:5">
      <c r="B193" s="783"/>
      <c r="C193" s="786" t="s">
        <v>222</v>
      </c>
      <c r="D193" s="785"/>
      <c r="E193" s="786"/>
    </row>
    <row r="194" spans="2:5">
      <c r="B194" s="783"/>
      <c r="C194" s="786" t="s">
        <v>219</v>
      </c>
      <c r="D194" s="785"/>
      <c r="E194" s="786"/>
    </row>
    <row r="195" spans="2:5">
      <c r="B195" s="783"/>
      <c r="C195" s="789" t="s">
        <v>190</v>
      </c>
      <c r="D195" s="785"/>
      <c r="E195" s="786"/>
    </row>
    <row r="196" spans="2:5">
      <c r="B196" s="783"/>
      <c r="C196" s="786" t="s">
        <v>211</v>
      </c>
      <c r="D196" s="785"/>
      <c r="E196" s="786"/>
    </row>
    <row r="197" spans="2:5">
      <c r="B197" s="783"/>
      <c r="C197" s="786" t="s">
        <v>210</v>
      </c>
      <c r="D197" s="785"/>
      <c r="E197" s="786"/>
    </row>
    <row r="198" spans="2:5">
      <c r="B198" s="783"/>
      <c r="C198" s="786" t="s">
        <v>220</v>
      </c>
      <c r="D198" s="785"/>
      <c r="E198" s="786"/>
    </row>
    <row r="199" spans="2:5">
      <c r="B199" s="783"/>
      <c r="C199" s="788" t="s">
        <v>199</v>
      </c>
      <c r="D199" s="785"/>
      <c r="E199" s="786"/>
    </row>
    <row r="200" spans="2:5">
      <c r="B200" s="783"/>
      <c r="C200" s="786" t="s">
        <v>200</v>
      </c>
      <c r="D200" s="785"/>
      <c r="E200" s="786"/>
    </row>
    <row r="202" spans="2:5">
      <c r="B202" s="783">
        <v>41419</v>
      </c>
      <c r="C202" s="784" t="s">
        <v>873</v>
      </c>
      <c r="D202" s="785">
        <v>41275</v>
      </c>
      <c r="E202" s="786"/>
    </row>
    <row r="203" spans="2:5">
      <c r="B203" s="783"/>
      <c r="C203" s="786" t="s">
        <v>196</v>
      </c>
      <c r="D203" s="785"/>
      <c r="E203" s="786"/>
    </row>
    <row r="204" spans="2:5">
      <c r="B204" s="783"/>
      <c r="C204" s="789" t="s">
        <v>169</v>
      </c>
      <c r="D204" s="785"/>
      <c r="E204" s="786"/>
    </row>
    <row r="205" spans="2:5">
      <c r="B205" s="783"/>
      <c r="C205" s="786" t="s">
        <v>165</v>
      </c>
      <c r="D205" s="785"/>
      <c r="E205" s="786"/>
    </row>
    <row r="206" spans="2:5">
      <c r="B206" s="783"/>
      <c r="C206" s="786" t="s">
        <v>197</v>
      </c>
      <c r="D206" s="785"/>
      <c r="E206" s="786"/>
    </row>
    <row r="207" spans="2:5">
      <c r="B207" s="783"/>
      <c r="C207" s="786" t="s">
        <v>170</v>
      </c>
      <c r="D207" s="785"/>
      <c r="E207" s="786"/>
    </row>
    <row r="208" spans="2:5">
      <c r="B208" s="783"/>
      <c r="C208" s="786" t="s">
        <v>198</v>
      </c>
      <c r="D208" s="785"/>
      <c r="E208" s="786"/>
    </row>
    <row r="210" spans="2:5">
      <c r="B210" s="783">
        <v>41275</v>
      </c>
      <c r="C210" s="784" t="s">
        <v>873</v>
      </c>
      <c r="D210" s="785">
        <v>41269</v>
      </c>
      <c r="E210" s="786"/>
    </row>
    <row r="211" spans="2:5">
      <c r="B211" s="783"/>
      <c r="C211" s="786" t="s">
        <v>187</v>
      </c>
      <c r="D211" s="785"/>
      <c r="E211" s="786"/>
    </row>
    <row r="212" spans="2:5">
      <c r="B212" s="783"/>
      <c r="C212" s="786" t="s">
        <v>188</v>
      </c>
      <c r="D212" s="785"/>
      <c r="E212" s="786"/>
    </row>
    <row r="213" spans="2:5">
      <c r="B213" s="783"/>
      <c r="C213" s="786" t="s">
        <v>189</v>
      </c>
      <c r="D213" s="785"/>
      <c r="E213" s="786"/>
    </row>
    <row r="214" spans="2:5">
      <c r="B214" s="783"/>
      <c r="C214" s="789" t="s">
        <v>169</v>
      </c>
      <c r="D214" s="785"/>
      <c r="E214" s="786"/>
    </row>
    <row r="215" spans="2:5">
      <c r="B215" s="783"/>
      <c r="C215" s="786" t="s">
        <v>166</v>
      </c>
      <c r="D215" s="785"/>
      <c r="E215" s="786"/>
    </row>
    <row r="216" spans="2:5">
      <c r="B216" s="783"/>
      <c r="C216" s="786" t="s">
        <v>167</v>
      </c>
      <c r="D216" s="785"/>
      <c r="E216" s="786"/>
    </row>
    <row r="217" spans="2:5">
      <c r="B217" s="783"/>
      <c r="C217" s="786" t="s">
        <v>168</v>
      </c>
      <c r="D217" s="785"/>
      <c r="E217" s="786"/>
    </row>
    <row r="218" spans="2:5">
      <c r="B218" s="783"/>
      <c r="C218" s="789" t="s">
        <v>190</v>
      </c>
      <c r="D218" s="785"/>
      <c r="E218" s="786"/>
    </row>
    <row r="219" spans="2:5">
      <c r="B219" s="783"/>
      <c r="C219" s="786" t="s">
        <v>166</v>
      </c>
      <c r="D219" s="785"/>
      <c r="E219" s="786"/>
    </row>
    <row r="220" spans="2:5">
      <c r="B220" s="783"/>
      <c r="C220" s="786" t="s">
        <v>191</v>
      </c>
      <c r="D220" s="785"/>
      <c r="E220" s="786"/>
    </row>
    <row r="221" spans="2:5">
      <c r="B221" s="783"/>
      <c r="C221" s="786" t="s">
        <v>201</v>
      </c>
      <c r="D221" s="785"/>
      <c r="E221" s="786"/>
    </row>
    <row r="222" spans="2:5">
      <c r="B222" s="783"/>
      <c r="C222" s="786" t="s">
        <v>202</v>
      </c>
      <c r="D222" s="785"/>
      <c r="E222" s="786"/>
    </row>
    <row r="223" spans="2:5">
      <c r="B223" s="783"/>
      <c r="C223" s="786" t="s">
        <v>192</v>
      </c>
      <c r="D223" s="785"/>
      <c r="E223" s="786"/>
    </row>
    <row r="224" spans="2:5">
      <c r="B224" s="783"/>
      <c r="C224" s="786" t="s">
        <v>193</v>
      </c>
      <c r="D224" s="785"/>
      <c r="E224" s="786"/>
    </row>
    <row r="225" spans="2:5">
      <c r="B225" s="783"/>
      <c r="C225" s="789" t="s">
        <v>194</v>
      </c>
      <c r="D225" s="785"/>
      <c r="E225" s="786"/>
    </row>
    <row r="226" spans="2:5">
      <c r="B226" s="783"/>
      <c r="C226" s="786" t="s">
        <v>166</v>
      </c>
      <c r="D226" s="785"/>
      <c r="E226" s="786"/>
    </row>
    <row r="227" spans="2:5">
      <c r="B227" s="783"/>
      <c r="C227" s="786" t="s">
        <v>195</v>
      </c>
      <c r="D227" s="785"/>
      <c r="E227" s="786"/>
    </row>
    <row r="229" spans="2:5">
      <c r="B229" s="783">
        <v>41269</v>
      </c>
      <c r="C229" s="784" t="s">
        <v>873</v>
      </c>
      <c r="D229" s="785">
        <v>40817</v>
      </c>
      <c r="E229" s="786"/>
    </row>
    <row r="230" spans="2:5">
      <c r="B230" s="783"/>
      <c r="C230" s="789" t="s">
        <v>169</v>
      </c>
      <c r="D230" s="785"/>
      <c r="E230" s="786"/>
    </row>
    <row r="231" spans="2:5">
      <c r="B231" s="783"/>
      <c r="C231" s="786" t="s">
        <v>171</v>
      </c>
      <c r="D231" s="785"/>
      <c r="E231" s="786"/>
    </row>
    <row r="232" spans="2:5">
      <c r="B232" s="783"/>
      <c r="C232" s="786" t="s">
        <v>172</v>
      </c>
      <c r="D232" s="785"/>
      <c r="E232" s="786"/>
    </row>
    <row r="233" spans="2:5">
      <c r="B233" s="783"/>
      <c r="C233" s="786" t="s">
        <v>173</v>
      </c>
      <c r="D233" s="785"/>
      <c r="E233" s="786"/>
    </row>
    <row r="234" spans="2:5">
      <c r="B234" s="783"/>
      <c r="C234" s="786" t="s">
        <v>174</v>
      </c>
      <c r="D234" s="785"/>
      <c r="E234" s="786"/>
    </row>
    <row r="235" spans="2:5">
      <c r="B235" s="783"/>
      <c r="C235" s="786" t="s">
        <v>175</v>
      </c>
      <c r="D235" s="785"/>
      <c r="E235" s="786"/>
    </row>
    <row r="236" spans="2:5">
      <c r="B236" s="783"/>
      <c r="C236" s="786" t="s">
        <v>176</v>
      </c>
      <c r="D236" s="785"/>
      <c r="E236" s="786"/>
    </row>
    <row r="237" spans="2:5">
      <c r="B237" s="783"/>
      <c r="C237" s="786" t="s">
        <v>177</v>
      </c>
      <c r="D237" s="785"/>
      <c r="E237" s="786"/>
    </row>
    <row r="238" spans="2:5">
      <c r="B238" s="783"/>
      <c r="C238" s="786" t="s">
        <v>178</v>
      </c>
      <c r="D238" s="785"/>
      <c r="E238" s="786"/>
    </row>
    <row r="239" spans="2:5">
      <c r="B239" s="783"/>
      <c r="C239" s="786" t="s">
        <v>179</v>
      </c>
      <c r="D239" s="785"/>
      <c r="E239" s="786"/>
    </row>
    <row r="240" spans="2:5">
      <c r="B240" s="783"/>
      <c r="C240" s="786" t="s">
        <v>180</v>
      </c>
      <c r="D240" s="785"/>
      <c r="E240" s="786"/>
    </row>
    <row r="241" spans="2:5">
      <c r="B241" s="783"/>
      <c r="C241" s="786" t="s">
        <v>181</v>
      </c>
      <c r="D241" s="785"/>
      <c r="E241" s="786"/>
    </row>
    <row r="242" spans="2:5">
      <c r="B242" s="783"/>
      <c r="C242" s="786" t="s">
        <v>182</v>
      </c>
      <c r="D242" s="785"/>
      <c r="E242" s="786"/>
    </row>
    <row r="243" spans="2:5">
      <c r="B243" s="783"/>
      <c r="C243" s="786" t="s">
        <v>183</v>
      </c>
      <c r="D243" s="785"/>
      <c r="E243" s="786"/>
    </row>
    <row r="244" spans="2:5">
      <c r="B244" s="783"/>
      <c r="C244" s="786" t="s">
        <v>184</v>
      </c>
      <c r="D244" s="785"/>
      <c r="E244" s="786"/>
    </row>
    <row r="245" spans="2:5">
      <c r="B245" s="783"/>
      <c r="C245" s="786" t="s">
        <v>185</v>
      </c>
      <c r="D245" s="785"/>
      <c r="E245" s="786"/>
    </row>
    <row r="246" spans="2:5">
      <c r="B246" s="783"/>
      <c r="C246" s="786" t="s">
        <v>186</v>
      </c>
      <c r="D246" s="785"/>
      <c r="E246" s="786"/>
    </row>
    <row r="248" spans="2:5">
      <c r="B248" s="783">
        <v>40817</v>
      </c>
      <c r="C248" s="784" t="s">
        <v>1149</v>
      </c>
      <c r="D248" s="785"/>
      <c r="E248" s="786"/>
    </row>
  </sheetData>
  <hyperlinks>
    <hyperlink ref="I3" location="daten!A3" tooltip="Weiter zu den Daten" display="ð" xr:uid="{00000000-0004-0000-0100-000000000000}"/>
    <hyperlink ref="H2" location="start!A1" tooltip="zur Startseite" display="ñ" xr:uid="{00000000-0004-0000-0100-000001000000}"/>
    <hyperlink ref="C20" location="daten!A3" display="daten" xr:uid="{00000000-0004-0000-0100-000002000000}"/>
    <hyperlink ref="C22" location="'3_rezeptkarte'!A1" display="rezeptkarte" xr:uid="{00000000-0004-0000-0100-000003000000}"/>
    <hyperlink ref="C24" location="'9_banderole'!A1" display="banderole" xr:uid="{00000000-0004-0000-0100-000004000000}"/>
    <hyperlink ref="C28" location="start!A1" display="start" xr:uid="{00000000-0004-0000-0100-000005000000}"/>
    <hyperlink ref="C32" location="'3_rezeptkarte'!A1" display="rezeptkarte" xr:uid="{00000000-0004-0000-0100-000006000000}"/>
    <hyperlink ref="C35" location="'4a_sud-journal'!A1" display="sud-journal" xr:uid="{00000000-0004-0000-0100-000007000000}"/>
    <hyperlink ref="C36" location="'4a_sud-journal (handout)'!A1" display="sud-journal (handout)" xr:uid="{00000000-0004-0000-0100-000008000000}"/>
    <hyperlink ref="C39" location="'5_gaerdiagramm'!A1" display="gaerdiagramm" xr:uid="{00000000-0004-0000-0100-000009000000}"/>
    <hyperlink ref="C42" location="'6_lagerbericht'!A1" display="lagerbericht" xr:uid="{00000000-0004-0000-0100-00000A000000}"/>
    <hyperlink ref="C44" location="'7_verkostungsbogen'!A1" display="verkostungsbogen" xr:uid="{00000000-0004-0000-0100-00000B000000}"/>
    <hyperlink ref="C51" location="'3_rezeptkarte'!A1" display="rezeptkarte" xr:uid="{00000000-0004-0000-0100-00000C000000}"/>
    <hyperlink ref="C52" location="'4a_sud-journal'!A1" display="sud-journal" xr:uid="{00000000-0004-0000-0100-00000D000000}"/>
    <hyperlink ref="C53" location="'4a_sud-journal (handout)'!A1" display="sud-journal (handout)" xr:uid="{00000000-0004-0000-0100-00000E000000}"/>
    <hyperlink ref="C55" location="'4a_sud-journal'!A1" display="sud-journal" xr:uid="{00000000-0004-0000-0100-00000F000000}"/>
    <hyperlink ref="C59" location="'1_vorbereitung'!A1" display="vorbereitung" xr:uid="{00000000-0004-0000-0100-000010000000}"/>
    <hyperlink ref="C64" location="'1_vorbereitung'!A1" display="vorbereitung" xr:uid="{00000000-0004-0000-0100-000011000000}"/>
    <hyperlink ref="C66" location="'3_rezeptkarte'!A1" display="rezeptkarte" xr:uid="{00000000-0004-0000-0100-000012000000}"/>
    <hyperlink ref="C71" location="'7_verkostungsbogen'!A1" display="verkostungsbogen" xr:uid="{00000000-0004-0000-0100-000013000000}"/>
    <hyperlink ref="C74" location="'8_untappd'!A1" display="untappd" xr:uid="{00000000-0004-0000-0100-000014000000}"/>
    <hyperlink ref="C76" location="'9_banderole'!A1" display="banderole" xr:uid="{00000000-0004-0000-0100-000015000000}"/>
    <hyperlink ref="C78" location="'10_zapfschild'!A1" display="zapfschild" xr:uid="{00000000-0004-0000-0100-000016000000}"/>
    <hyperlink ref="C82" location="'1_vorbereitung'!A1" display="vorbereitung" xr:uid="{00000000-0004-0000-0100-000017000000}"/>
    <hyperlink ref="C87" location="'3_rezeptkarte'!A1" display="rezeptkarte" xr:uid="{00000000-0004-0000-0100-000018000000}"/>
    <hyperlink ref="C91" location="'4a_sud-journal'!A1" display="sud-journal" xr:uid="{00000000-0004-0000-0100-000019000000}"/>
    <hyperlink ref="C92" location="'4a_sud-journal (handout)'!A1" display="sud-journal (handout)" xr:uid="{00000000-0004-0000-0100-00001A000000}"/>
    <hyperlink ref="C94" location="'5_gaerdiagramm'!A1" display="gaerdiagramm" xr:uid="{00000000-0004-0000-0100-00001B000000}"/>
    <hyperlink ref="C101" location="'3_rezeptkarte'!A1" display="rezeptkarte" xr:uid="{00000000-0004-0000-0100-00001C000000}"/>
    <hyperlink ref="C104" location="'5_gaerdiagramm'!A1" display="gaerdiagramm" xr:uid="{00000000-0004-0000-0100-00001D000000}"/>
    <hyperlink ref="C106" location="'6_lagerbericht'!A1" display="lagerbericht" xr:uid="{00000000-0004-0000-0100-00001E000000}"/>
    <hyperlink ref="C84" location="'2_brief_hza'!A1" display="brief_hza" xr:uid="{00000000-0004-0000-0100-00001F000000}"/>
    <hyperlink ref="C111" location="'4a_sud-journal'!A1" display="sud-journal" xr:uid="{00000000-0004-0000-0100-000020000000}"/>
    <hyperlink ref="C112" location="'4a_sud-journal (handout)'!A1" display="sud-journal (handout)" xr:uid="{00000000-0004-0000-0100-000021000000}"/>
    <hyperlink ref="C116" location="'4a_sud-journal'!A1" display="sud-journal" xr:uid="{00000000-0004-0000-0100-000022000000}"/>
    <hyperlink ref="C118" location="'4a_sud-journal (handout)'!A1" display="sud-journal (handout)" xr:uid="{00000000-0004-0000-0100-000023000000}"/>
    <hyperlink ref="C124" location="'3_rezeptkarte'!A1" display="rezeptkarte" xr:uid="{00000000-0004-0000-0100-000024000000}"/>
    <hyperlink ref="C126" location="'4a_sud-journal'!A1" display="sud-journal" xr:uid="{00000000-0004-0000-0100-000025000000}"/>
    <hyperlink ref="C129" location="'4a_sud-journal (handout)'!A1" display="sud-journal (handout)" xr:uid="{00000000-0004-0000-0100-000026000000}"/>
    <hyperlink ref="C135" location="'3_rezeptkarte'!A1" display="rezeptkarte" xr:uid="{00000000-0004-0000-0100-000027000000}"/>
    <hyperlink ref="C143" location="'3_rezeptkarte'!A1" display="rezeptkarte" xr:uid="{00000000-0004-0000-0100-000028000000}"/>
    <hyperlink ref="C145" location="'4a_sud-journal'!A1" display="sud-journal" xr:uid="{00000000-0004-0000-0100-000029000000}"/>
    <hyperlink ref="C147" location="'4a_sud-journal (handout)'!A1" display="sud-journal (handout)" xr:uid="{00000000-0004-0000-0100-00002A000000}"/>
    <hyperlink ref="C149" location="'5_gaerdiagramm'!A1" display="gaerdiagramm" xr:uid="{00000000-0004-0000-0100-00002B000000}"/>
    <hyperlink ref="C155" location="'2_brief_hza'!A1" display="brief_hza" xr:uid="{00000000-0004-0000-0100-00002C000000}"/>
    <hyperlink ref="C157" location="'4a_sud-journal'!A1" display="sud-journal" xr:uid="{00000000-0004-0000-0100-00002D000000}"/>
    <hyperlink ref="C165" location="'3_rezeptkarte'!A1" display="rezeptkarte" xr:uid="{00000000-0004-0000-0100-00002E000000}"/>
    <hyperlink ref="C170" location="'1_vorbereitung'!A1" display="vorbereitung" xr:uid="{00000000-0004-0000-0100-00002F000000}"/>
    <hyperlink ref="C172" location="'2_brief_hza'!A1" display="brief_hza" xr:uid="{00000000-0004-0000-0100-000030000000}"/>
    <hyperlink ref="C174" location="'4a_sud-journal'!A1" display="sud-journal" xr:uid="{00000000-0004-0000-0100-000031000000}"/>
    <hyperlink ref="C181" location="'5_gaerdiagramm'!A1" display="gaerdiagramm" xr:uid="{00000000-0004-0000-0100-000032000000}"/>
    <hyperlink ref="C151" location="'6_lagerbericht'!A1" display="lagerbericht" xr:uid="{00000000-0004-0000-0100-000033000000}"/>
    <hyperlink ref="C183" location="'6_lagerbericht'!A1" display="lagerbericht" xr:uid="{00000000-0004-0000-0100-000034000000}"/>
    <hyperlink ref="C185" location="'7_verkostungsbogen'!A1" display="bewertungsbogen" xr:uid="{00000000-0004-0000-0100-000035000000}"/>
    <hyperlink ref="C97" location="'7_verkostungsbogen'!A1" display="bewertungsbogen" xr:uid="{00000000-0004-0000-0100-000036000000}"/>
    <hyperlink ref="C141" location="start!A1" display="intro" xr:uid="{00000000-0004-0000-0100-000037000000}"/>
    <hyperlink ref="C189" location="'4a_sud-journal'!A1" display="sud-journal" xr:uid="{00000000-0004-0000-0100-000038000000}"/>
    <hyperlink ref="C195" location="'5_gaerdiagramm'!A1" display="gaerdiagramm" xr:uid="{00000000-0004-0000-0100-000039000000}"/>
    <hyperlink ref="C199" location="'7_verkostungsbogen'!A1" display="bewertungsbogen" xr:uid="{00000000-0004-0000-0100-00003A000000}"/>
    <hyperlink ref="C204" location="'4a_sud-journal'!A1" display="sud-journal" xr:uid="{00000000-0004-0000-0100-00003B000000}"/>
    <hyperlink ref="C214" location="'4a_sud-journal'!A1" display="sud-journal" xr:uid="{00000000-0004-0000-0100-00003C000000}"/>
    <hyperlink ref="C218" location="'5_gaerdiagramm'!A1" display="gaerdiagramm" xr:uid="{00000000-0004-0000-0100-00003D000000}"/>
    <hyperlink ref="C225" location="'6_lagerbericht'!A1" display="lagerbericht" xr:uid="{00000000-0004-0000-0100-00003E000000}"/>
    <hyperlink ref="C230" location="'4a_sud-journal'!A1" display="sud-journal" xr:uid="{00000000-0004-0000-0100-00003F000000}"/>
    <hyperlink ref="C30" location="daten!A3" display="daten" xr:uid="{00000000-0004-0000-0100-000040000000}"/>
    <hyperlink ref="C18" location="export!A1" display="export" xr:uid="{06A18015-5603-45A6-B10D-7D04E3E48D52}"/>
    <hyperlink ref="C3" location="rechenfibel!A1" display="rechenfibel" xr:uid="{F45C66B2-09DC-4BCF-A884-53A5FE0DD6CD}"/>
    <hyperlink ref="C7" location="'3_rezeptkarte'!A1" display="rezeptkarte" xr:uid="{A9B14997-6BF1-49DC-B979-BC4E5C46D6E5}"/>
    <hyperlink ref="C8" location="'4a_sud-journal'!A1" display="sud-journal" xr:uid="{0BBF8353-D07E-4A65-A52E-C45317B11EA8}"/>
    <hyperlink ref="C9" location="'4a_sud-journal (handout)'!A1" display="sud-journal (handout)" xr:uid="{42C92720-578F-4CBD-8228-9609A07FE3AC}"/>
    <hyperlink ref="C12" location="'5_gaerdiagramm'!A1" display="gaerdiagramm" xr:uid="{B28B6591-5C7C-4A48-AB89-74DFE3E60501}"/>
    <hyperlink ref="C5" location="daten!A3" display="daten" xr:uid="{E4DBCA4C-817F-41CB-BBBE-BF3EA20A0244}"/>
  </hyperlinks>
  <pageMargins left="0.51181102362204722" right="0.5118110236220472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dimension ref="B1:Q141"/>
  <sheetViews>
    <sheetView showGridLines="0" showRowColHeaders="0" workbookViewId="0">
      <pane ySplit="2" topLeftCell="A3" activePane="bottomLeft" state="frozen"/>
      <selection pane="bottomLeft" activeCell="Q2" sqref="Q2"/>
    </sheetView>
  </sheetViews>
  <sheetFormatPr baseColWidth="10" defaultColWidth="11.5546875" defaultRowHeight="13.8"/>
  <cols>
    <col min="1" max="1" width="2.5546875" style="484" customWidth="1"/>
    <col min="2" max="2" width="14.44140625" style="484" bestFit="1" customWidth="1"/>
    <col min="3" max="3" width="2.5546875" style="484" customWidth="1"/>
    <col min="4" max="4" width="25.5546875" style="484" bestFit="1" customWidth="1"/>
    <col min="5" max="5" width="4.33203125" style="484" bestFit="1" customWidth="1"/>
    <col min="6" max="6" width="2.5546875" style="484" customWidth="1"/>
    <col min="7" max="7" width="25.33203125" style="484" bestFit="1" customWidth="1"/>
    <col min="8" max="8" width="10.33203125" style="484" bestFit="1" customWidth="1"/>
    <col min="9" max="9" width="2.5546875" style="484" customWidth="1"/>
    <col min="10" max="10" width="33.5546875" style="484" bestFit="1" customWidth="1"/>
    <col min="11" max="11" width="5.33203125" style="842" bestFit="1" customWidth="1"/>
    <col min="12" max="12" width="9" style="537" bestFit="1" customWidth="1"/>
    <col min="13" max="13" width="10.44140625" style="850" bestFit="1" customWidth="1"/>
    <col min="14" max="14" width="2.88671875" style="484" customWidth="1"/>
    <col min="15" max="17" width="3.109375" style="484" customWidth="1"/>
    <col min="18" max="16384" width="11.5546875" style="484"/>
  </cols>
  <sheetData>
    <row r="1" spans="2:17" ht="15">
      <c r="O1" s="519"/>
      <c r="P1" s="439" t="s">
        <v>832</v>
      </c>
      <c r="Q1" s="520"/>
    </row>
    <row r="2" spans="2:17" ht="15">
      <c r="B2" s="646" t="s">
        <v>838</v>
      </c>
      <c r="D2" s="646" t="s">
        <v>61</v>
      </c>
      <c r="E2" s="646" t="s">
        <v>50</v>
      </c>
      <c r="G2" s="646" t="s">
        <v>776</v>
      </c>
      <c r="H2" s="646" t="s">
        <v>67</v>
      </c>
      <c r="J2" s="646" t="s">
        <v>807</v>
      </c>
      <c r="K2" s="843" t="s">
        <v>203</v>
      </c>
      <c r="L2" s="647" t="s">
        <v>653</v>
      </c>
      <c r="M2" s="851" t="s">
        <v>654</v>
      </c>
      <c r="O2" s="440" t="s">
        <v>246</v>
      </c>
      <c r="P2" s="521"/>
      <c r="Q2" s="442" t="s">
        <v>242</v>
      </c>
    </row>
    <row r="3" spans="2:17">
      <c r="B3" s="485" t="s">
        <v>229</v>
      </c>
      <c r="D3" s="485" t="s">
        <v>946</v>
      </c>
      <c r="E3" s="485">
        <v>22</v>
      </c>
      <c r="G3" s="485" t="s">
        <v>995</v>
      </c>
      <c r="H3" s="485" t="s">
        <v>49</v>
      </c>
      <c r="J3" s="496" t="s">
        <v>693</v>
      </c>
      <c r="K3" s="844"/>
      <c r="L3" s="538"/>
      <c r="M3" s="852"/>
    </row>
    <row r="4" spans="2:17">
      <c r="B4" s="485" t="s">
        <v>135</v>
      </c>
      <c r="D4" s="485" t="s">
        <v>947</v>
      </c>
      <c r="E4" s="485">
        <v>15</v>
      </c>
      <c r="G4" s="485" t="s">
        <v>996</v>
      </c>
      <c r="H4" s="485" t="s">
        <v>49</v>
      </c>
      <c r="J4" s="485" t="s">
        <v>239</v>
      </c>
      <c r="K4" s="844"/>
      <c r="L4" s="538"/>
      <c r="M4" s="852"/>
    </row>
    <row r="5" spans="2:17">
      <c r="B5" s="485" t="s">
        <v>54</v>
      </c>
      <c r="D5" s="485" t="s">
        <v>948</v>
      </c>
      <c r="E5" s="485">
        <v>22</v>
      </c>
      <c r="G5" s="485" t="s">
        <v>997</v>
      </c>
      <c r="H5" s="485" t="s">
        <v>48</v>
      </c>
      <c r="J5" s="485" t="s">
        <v>843</v>
      </c>
      <c r="K5" s="844"/>
      <c r="L5" s="538" t="s">
        <v>890</v>
      </c>
      <c r="M5" s="852" t="s">
        <v>846</v>
      </c>
    </row>
    <row r="6" spans="2:17">
      <c r="B6" s="485" t="s">
        <v>60</v>
      </c>
      <c r="D6" s="485" t="s">
        <v>949</v>
      </c>
      <c r="E6" s="485">
        <v>6</v>
      </c>
      <c r="G6" s="485" t="s">
        <v>998</v>
      </c>
      <c r="H6" s="485" t="s">
        <v>48</v>
      </c>
      <c r="J6" s="485" t="s">
        <v>1246</v>
      </c>
      <c r="K6" s="844"/>
      <c r="L6" s="538" t="s">
        <v>890</v>
      </c>
      <c r="M6" s="852" t="s">
        <v>846</v>
      </c>
    </row>
    <row r="7" spans="2:17">
      <c r="B7" s="485" t="s">
        <v>297</v>
      </c>
      <c r="D7" s="485" t="s">
        <v>950</v>
      </c>
      <c r="E7" s="485">
        <v>4</v>
      </c>
      <c r="G7" s="485" t="s">
        <v>999</v>
      </c>
      <c r="H7" s="485" t="s">
        <v>48</v>
      </c>
      <c r="J7" s="485" t="s">
        <v>161</v>
      </c>
      <c r="K7" s="844">
        <v>69</v>
      </c>
      <c r="L7" s="538" t="s">
        <v>891</v>
      </c>
      <c r="M7" s="852" t="s">
        <v>846</v>
      </c>
    </row>
    <row r="8" spans="2:17">
      <c r="B8" s="485" t="s">
        <v>295</v>
      </c>
      <c r="D8" s="485" t="s">
        <v>951</v>
      </c>
      <c r="E8" s="485">
        <v>4</v>
      </c>
      <c r="G8" s="485" t="s">
        <v>1000</v>
      </c>
      <c r="H8" s="485" t="s">
        <v>49</v>
      </c>
      <c r="J8" s="485" t="s">
        <v>658</v>
      </c>
      <c r="K8" s="844"/>
      <c r="L8" s="538" t="s">
        <v>892</v>
      </c>
      <c r="M8" s="852" t="s">
        <v>846</v>
      </c>
    </row>
    <row r="9" spans="2:17">
      <c r="B9" s="485" t="s">
        <v>296</v>
      </c>
      <c r="D9" s="485" t="s">
        <v>952</v>
      </c>
      <c r="E9" s="485">
        <v>3.5</v>
      </c>
      <c r="G9" s="485" t="s">
        <v>1001</v>
      </c>
      <c r="H9" s="485" t="s">
        <v>48</v>
      </c>
      <c r="J9" s="485" t="s">
        <v>659</v>
      </c>
      <c r="K9" s="844">
        <v>85</v>
      </c>
      <c r="L9" s="538" t="s">
        <v>892</v>
      </c>
      <c r="M9" s="852" t="s">
        <v>846</v>
      </c>
    </row>
    <row r="10" spans="2:17">
      <c r="B10" s="485" t="s">
        <v>136</v>
      </c>
      <c r="D10" s="485" t="s">
        <v>953</v>
      </c>
      <c r="E10" s="485">
        <v>8</v>
      </c>
      <c r="G10" s="485" t="s">
        <v>1002</v>
      </c>
      <c r="H10" s="485" t="s">
        <v>48</v>
      </c>
      <c r="J10" s="485" t="s">
        <v>660</v>
      </c>
      <c r="K10" s="844"/>
      <c r="L10" s="538" t="s">
        <v>893</v>
      </c>
      <c r="M10" s="852" t="s">
        <v>846</v>
      </c>
    </row>
    <row r="11" spans="2:17">
      <c r="B11" s="485" t="s">
        <v>137</v>
      </c>
      <c r="D11" s="485"/>
      <c r="E11" s="485"/>
      <c r="G11" s="485" t="s">
        <v>1003</v>
      </c>
      <c r="H11" s="485" t="s">
        <v>48</v>
      </c>
      <c r="J11" s="485" t="s">
        <v>661</v>
      </c>
      <c r="K11" s="844"/>
      <c r="L11" s="538" t="s">
        <v>894</v>
      </c>
      <c r="M11" s="852" t="s">
        <v>846</v>
      </c>
    </row>
    <row r="12" spans="2:17">
      <c r="B12" s="485" t="s">
        <v>793</v>
      </c>
      <c r="D12" s="485" t="s">
        <v>954</v>
      </c>
      <c r="E12" s="485">
        <v>5</v>
      </c>
      <c r="G12" s="485" t="s">
        <v>1004</v>
      </c>
      <c r="H12" s="485" t="s">
        <v>48</v>
      </c>
      <c r="J12" s="485" t="s">
        <v>204</v>
      </c>
      <c r="K12" s="844">
        <v>75</v>
      </c>
      <c r="L12" s="538" t="s">
        <v>895</v>
      </c>
      <c r="M12" s="852" t="s">
        <v>846</v>
      </c>
    </row>
    <row r="13" spans="2:17">
      <c r="B13" s="485" t="s">
        <v>140</v>
      </c>
      <c r="D13" s="485" t="s">
        <v>955</v>
      </c>
      <c r="E13" s="485">
        <v>4</v>
      </c>
      <c r="G13" s="485" t="s">
        <v>1005</v>
      </c>
      <c r="H13" s="485" t="s">
        <v>48</v>
      </c>
      <c r="J13" s="485" t="s">
        <v>205</v>
      </c>
      <c r="K13" s="844">
        <v>64</v>
      </c>
      <c r="L13" s="538" t="s">
        <v>893</v>
      </c>
      <c r="M13" s="852" t="s">
        <v>846</v>
      </c>
    </row>
    <row r="14" spans="2:17">
      <c r="B14" s="485" t="s">
        <v>138</v>
      </c>
      <c r="D14" s="485" t="s">
        <v>956</v>
      </c>
      <c r="E14" s="485">
        <v>16</v>
      </c>
      <c r="G14" s="485" t="s">
        <v>1006</v>
      </c>
      <c r="H14" s="485" t="s">
        <v>48</v>
      </c>
      <c r="J14" s="485" t="s">
        <v>681</v>
      </c>
      <c r="K14" s="844">
        <v>90</v>
      </c>
      <c r="L14" s="538" t="s">
        <v>896</v>
      </c>
      <c r="M14" s="852">
        <v>10</v>
      </c>
    </row>
    <row r="15" spans="2:17">
      <c r="B15" s="485" t="s">
        <v>139</v>
      </c>
      <c r="D15" s="485"/>
      <c r="E15" s="485"/>
      <c r="G15" s="485" t="s">
        <v>1007</v>
      </c>
      <c r="H15" s="485" t="s">
        <v>48</v>
      </c>
      <c r="J15" s="485" t="s">
        <v>682</v>
      </c>
      <c r="K15" s="844">
        <v>85</v>
      </c>
      <c r="L15" s="538" t="s">
        <v>889</v>
      </c>
      <c r="M15" s="852">
        <v>10</v>
      </c>
    </row>
    <row r="16" spans="2:17">
      <c r="B16" s="485" t="s">
        <v>142</v>
      </c>
      <c r="D16" s="485" t="s">
        <v>957</v>
      </c>
      <c r="E16" s="485">
        <v>70</v>
      </c>
      <c r="G16" s="485" t="s">
        <v>1008</v>
      </c>
      <c r="H16" s="485" t="s">
        <v>49</v>
      </c>
      <c r="J16" s="485" t="s">
        <v>655</v>
      </c>
      <c r="K16" s="844">
        <v>81</v>
      </c>
      <c r="L16" s="538" t="s">
        <v>889</v>
      </c>
      <c r="M16" s="852">
        <v>10</v>
      </c>
    </row>
    <row r="17" spans="2:13">
      <c r="B17" s="485" t="s">
        <v>57</v>
      </c>
      <c r="D17" s="485" t="s">
        <v>958</v>
      </c>
      <c r="E17" s="485">
        <v>400</v>
      </c>
      <c r="G17" s="485" t="s">
        <v>1009</v>
      </c>
      <c r="H17" s="485" t="s">
        <v>49</v>
      </c>
      <c r="J17" s="485" t="s">
        <v>657</v>
      </c>
      <c r="K17" s="844">
        <v>75</v>
      </c>
      <c r="L17" s="538" t="s">
        <v>889</v>
      </c>
      <c r="M17" s="852">
        <v>10</v>
      </c>
    </row>
    <row r="18" spans="2:13">
      <c r="B18" s="485" t="s">
        <v>59</v>
      </c>
      <c r="D18" s="485" t="s">
        <v>959</v>
      </c>
      <c r="E18" s="485">
        <v>35</v>
      </c>
      <c r="G18" s="485" t="s">
        <v>1010</v>
      </c>
      <c r="H18" s="485" t="s">
        <v>49</v>
      </c>
      <c r="J18" s="485" t="s">
        <v>683</v>
      </c>
      <c r="K18" s="844">
        <v>70</v>
      </c>
      <c r="L18" s="538" t="s">
        <v>889</v>
      </c>
      <c r="M18" s="852">
        <v>10</v>
      </c>
    </row>
    <row r="19" spans="2:13">
      <c r="B19" s="485" t="s">
        <v>141</v>
      </c>
      <c r="D19" s="485" t="s">
        <v>960</v>
      </c>
      <c r="E19" s="485">
        <v>1150</v>
      </c>
      <c r="G19" s="485" t="s">
        <v>1011</v>
      </c>
      <c r="H19" s="485" t="s">
        <v>48</v>
      </c>
      <c r="J19" s="485" t="s">
        <v>1341</v>
      </c>
      <c r="K19" s="844">
        <v>70</v>
      </c>
      <c r="L19" s="538" t="s">
        <v>889</v>
      </c>
      <c r="M19" s="852">
        <v>10</v>
      </c>
    </row>
    <row r="20" spans="2:13">
      <c r="B20" s="485" t="s">
        <v>1244</v>
      </c>
      <c r="D20" s="485" t="s">
        <v>961</v>
      </c>
      <c r="E20" s="485">
        <v>120</v>
      </c>
      <c r="G20" s="485" t="s">
        <v>1012</v>
      </c>
      <c r="H20" s="485" t="s">
        <v>48</v>
      </c>
      <c r="J20" s="485" t="s">
        <v>656</v>
      </c>
      <c r="K20" s="844">
        <v>81</v>
      </c>
      <c r="L20" s="538" t="s">
        <v>897</v>
      </c>
      <c r="M20" s="852">
        <v>10</v>
      </c>
    </row>
    <row r="21" spans="2:13">
      <c r="B21" s="485" t="s">
        <v>58</v>
      </c>
      <c r="D21" s="485" t="s">
        <v>962</v>
      </c>
      <c r="E21" s="485">
        <v>25</v>
      </c>
      <c r="G21" s="485" t="s">
        <v>1013</v>
      </c>
      <c r="H21" s="485" t="s">
        <v>48</v>
      </c>
      <c r="J21" s="485" t="s">
        <v>664</v>
      </c>
      <c r="K21" s="844"/>
      <c r="L21" s="538" t="s">
        <v>898</v>
      </c>
      <c r="M21" s="852">
        <v>8.6999999999999993</v>
      </c>
    </row>
    <row r="22" spans="2:13">
      <c r="B22" s="485" t="s">
        <v>1234</v>
      </c>
      <c r="D22" s="485" t="s">
        <v>963</v>
      </c>
      <c r="E22" s="485">
        <v>90</v>
      </c>
      <c r="G22" s="485" t="s">
        <v>1014</v>
      </c>
      <c r="H22" s="485" t="s">
        <v>48</v>
      </c>
      <c r="J22" s="485" t="s">
        <v>663</v>
      </c>
      <c r="K22" s="844"/>
      <c r="L22" s="538" t="s">
        <v>899</v>
      </c>
      <c r="M22" s="852">
        <v>6.8</v>
      </c>
    </row>
    <row r="23" spans="2:13">
      <c r="B23" s="485" t="s">
        <v>1243</v>
      </c>
      <c r="D23" s="485" t="s">
        <v>964</v>
      </c>
      <c r="E23" s="485">
        <v>120</v>
      </c>
      <c r="G23" s="485" t="s">
        <v>1015</v>
      </c>
      <c r="H23" s="485" t="s">
        <v>48</v>
      </c>
      <c r="J23" s="485" t="s">
        <v>665</v>
      </c>
      <c r="K23" s="844"/>
      <c r="L23" s="538" t="s">
        <v>900</v>
      </c>
      <c r="M23" s="852">
        <v>9</v>
      </c>
    </row>
    <row r="24" spans="2:13">
      <c r="B24" s="485" t="s">
        <v>56</v>
      </c>
      <c r="D24" s="485" t="s">
        <v>965</v>
      </c>
      <c r="E24" s="485">
        <v>150</v>
      </c>
      <c r="G24" s="485" t="s">
        <v>1016</v>
      </c>
      <c r="H24" s="485" t="s">
        <v>48</v>
      </c>
      <c r="J24" s="485" t="s">
        <v>666</v>
      </c>
      <c r="K24" s="844"/>
      <c r="L24" s="538" t="s">
        <v>901</v>
      </c>
      <c r="M24" s="852">
        <v>6</v>
      </c>
    </row>
    <row r="25" spans="2:13">
      <c r="B25" s="485" t="s">
        <v>144</v>
      </c>
      <c r="D25" s="485" t="s">
        <v>966</v>
      </c>
      <c r="E25" s="485">
        <v>4</v>
      </c>
      <c r="G25" s="485" t="s">
        <v>1017</v>
      </c>
      <c r="H25" s="485" t="s">
        <v>48</v>
      </c>
      <c r="J25" s="485" t="s">
        <v>668</v>
      </c>
      <c r="K25" s="844"/>
      <c r="L25" s="538" t="s">
        <v>889</v>
      </c>
      <c r="M25" s="852">
        <v>6.9</v>
      </c>
    </row>
    <row r="26" spans="2:13">
      <c r="B26" s="485" t="s">
        <v>145</v>
      </c>
      <c r="D26" s="485" t="s">
        <v>967</v>
      </c>
      <c r="E26" s="485">
        <v>45</v>
      </c>
      <c r="G26" s="485" t="s">
        <v>1018</v>
      </c>
      <c r="H26" s="485" t="s">
        <v>48</v>
      </c>
      <c r="J26" s="485" t="s">
        <v>669</v>
      </c>
      <c r="K26" s="844"/>
      <c r="L26" s="538" t="s">
        <v>902</v>
      </c>
      <c r="M26" s="852">
        <v>8.8000000000000007</v>
      </c>
    </row>
    <row r="27" spans="2:13">
      <c r="B27" s="485" t="s">
        <v>143</v>
      </c>
      <c r="D27" s="485" t="s">
        <v>968</v>
      </c>
      <c r="E27" s="485">
        <v>115</v>
      </c>
      <c r="G27" s="485" t="s">
        <v>1019</v>
      </c>
      <c r="H27" s="485" t="s">
        <v>48</v>
      </c>
      <c r="J27" s="485" t="s">
        <v>670</v>
      </c>
      <c r="K27" s="844"/>
      <c r="L27" s="538" t="s">
        <v>903</v>
      </c>
      <c r="M27" s="852">
        <v>12</v>
      </c>
    </row>
    <row r="28" spans="2:13">
      <c r="B28" s="485" t="s">
        <v>146</v>
      </c>
      <c r="D28" s="485"/>
      <c r="E28" s="485"/>
      <c r="G28" s="485" t="s">
        <v>1020</v>
      </c>
      <c r="H28" s="485" t="s">
        <v>48</v>
      </c>
      <c r="J28" s="485" t="s">
        <v>671</v>
      </c>
      <c r="K28" s="844"/>
      <c r="L28" s="538" t="s">
        <v>894</v>
      </c>
      <c r="M28" s="852">
        <v>7.4</v>
      </c>
    </row>
    <row r="29" spans="2:13">
      <c r="B29" s="485" t="s">
        <v>148</v>
      </c>
      <c r="D29" s="485" t="s">
        <v>969</v>
      </c>
      <c r="E29" s="485">
        <v>70</v>
      </c>
      <c r="G29" s="485" t="s">
        <v>1021</v>
      </c>
      <c r="H29" s="485" t="s">
        <v>48</v>
      </c>
      <c r="J29" s="485" t="s">
        <v>672</v>
      </c>
      <c r="K29" s="844"/>
      <c r="L29" s="538" t="s">
        <v>904</v>
      </c>
      <c r="M29" s="852"/>
    </row>
    <row r="30" spans="2:13">
      <c r="B30" s="485" t="s">
        <v>147</v>
      </c>
      <c r="D30" s="485"/>
      <c r="E30" s="485"/>
      <c r="G30" s="485" t="s">
        <v>1022</v>
      </c>
      <c r="H30" s="485" t="s">
        <v>49</v>
      </c>
      <c r="J30" s="485" t="s">
        <v>673</v>
      </c>
      <c r="K30" s="844"/>
      <c r="L30" s="538" t="s">
        <v>904</v>
      </c>
      <c r="M30" s="852"/>
    </row>
    <row r="31" spans="2:13">
      <c r="B31" s="485" t="s">
        <v>149</v>
      </c>
      <c r="D31" s="485" t="s">
        <v>970</v>
      </c>
      <c r="E31" s="485">
        <v>5</v>
      </c>
      <c r="G31" s="485" t="s">
        <v>1023</v>
      </c>
      <c r="H31" s="485" t="s">
        <v>49</v>
      </c>
      <c r="J31" s="485" t="s">
        <v>674</v>
      </c>
      <c r="K31" s="844"/>
      <c r="L31" s="538" t="s">
        <v>904</v>
      </c>
      <c r="M31" s="852"/>
    </row>
    <row r="32" spans="2:13">
      <c r="B32" s="485" t="s">
        <v>150</v>
      </c>
      <c r="D32" s="485" t="s">
        <v>971</v>
      </c>
      <c r="E32" s="485">
        <v>5</v>
      </c>
      <c r="G32" s="485" t="s">
        <v>1024</v>
      </c>
      <c r="H32" s="485" t="s">
        <v>48</v>
      </c>
      <c r="J32" s="485" t="s">
        <v>675</v>
      </c>
      <c r="K32" s="844"/>
      <c r="L32" s="538" t="s">
        <v>904</v>
      </c>
      <c r="M32" s="852"/>
    </row>
    <row r="33" spans="2:13">
      <c r="B33" s="485"/>
      <c r="D33" s="485"/>
      <c r="E33" s="485"/>
      <c r="G33" s="485" t="s">
        <v>1025</v>
      </c>
      <c r="H33" s="485" t="s">
        <v>49</v>
      </c>
      <c r="J33" s="485" t="s">
        <v>676</v>
      </c>
      <c r="K33" s="844"/>
      <c r="L33" s="538" t="s">
        <v>904</v>
      </c>
      <c r="M33" s="852"/>
    </row>
    <row r="34" spans="2:13">
      <c r="D34" s="485" t="s">
        <v>972</v>
      </c>
      <c r="E34" s="485">
        <v>1300</v>
      </c>
      <c r="G34" s="485" t="s">
        <v>1026</v>
      </c>
      <c r="H34" s="485" t="s">
        <v>48</v>
      </c>
      <c r="J34" s="485" t="s">
        <v>677</v>
      </c>
      <c r="K34" s="844"/>
      <c r="L34" s="538" t="s">
        <v>896</v>
      </c>
      <c r="M34" s="852">
        <v>14</v>
      </c>
    </row>
    <row r="35" spans="2:13">
      <c r="D35" s="485" t="s">
        <v>973</v>
      </c>
      <c r="E35" s="485">
        <v>960</v>
      </c>
      <c r="G35" s="485" t="s">
        <v>1027</v>
      </c>
      <c r="H35" s="485" t="s">
        <v>49</v>
      </c>
      <c r="J35" s="485" t="s">
        <v>678</v>
      </c>
      <c r="K35" s="844"/>
      <c r="L35" s="538" t="s">
        <v>904</v>
      </c>
      <c r="M35" s="852"/>
    </row>
    <row r="36" spans="2:13">
      <c r="D36" s="485" t="s">
        <v>974</v>
      </c>
      <c r="E36" s="485">
        <v>4</v>
      </c>
      <c r="G36" s="485" t="s">
        <v>1028</v>
      </c>
      <c r="H36" s="485" t="s">
        <v>48</v>
      </c>
      <c r="J36" s="485" t="s">
        <v>679</v>
      </c>
      <c r="K36" s="844"/>
      <c r="L36" s="538" t="s">
        <v>904</v>
      </c>
      <c r="M36" s="852"/>
    </row>
    <row r="37" spans="2:13">
      <c r="D37" s="485" t="s">
        <v>975</v>
      </c>
      <c r="E37" s="485">
        <v>3</v>
      </c>
      <c r="G37" s="485" t="s">
        <v>1029</v>
      </c>
      <c r="H37" s="485" t="s">
        <v>48</v>
      </c>
      <c r="J37" s="485" t="s">
        <v>680</v>
      </c>
      <c r="K37" s="844"/>
      <c r="L37" s="538" t="s">
        <v>904</v>
      </c>
      <c r="M37" s="852"/>
    </row>
    <row r="38" spans="2:13">
      <c r="D38" s="485" t="s">
        <v>976</v>
      </c>
      <c r="E38" s="485">
        <v>3.5</v>
      </c>
      <c r="G38" s="485" t="s">
        <v>1030</v>
      </c>
      <c r="H38" s="485" t="s">
        <v>48</v>
      </c>
      <c r="J38" s="485" t="s">
        <v>647</v>
      </c>
      <c r="K38" s="844">
        <v>77.5</v>
      </c>
      <c r="L38" s="538" t="s">
        <v>905</v>
      </c>
      <c r="M38" s="852">
        <v>15</v>
      </c>
    </row>
    <row r="39" spans="2:13">
      <c r="D39" s="485" t="s">
        <v>977</v>
      </c>
      <c r="E39" s="485">
        <v>4</v>
      </c>
      <c r="G39" s="485" t="s">
        <v>1031</v>
      </c>
      <c r="H39" s="485" t="s">
        <v>48</v>
      </c>
      <c r="J39" s="485" t="s">
        <v>648</v>
      </c>
      <c r="K39" s="844">
        <v>66.5</v>
      </c>
      <c r="L39" s="538" t="s">
        <v>906</v>
      </c>
      <c r="M39" s="852"/>
    </row>
    <row r="40" spans="2:13">
      <c r="D40" s="485" t="s">
        <v>978</v>
      </c>
      <c r="E40" s="485">
        <v>5</v>
      </c>
      <c r="G40" s="485" t="s">
        <v>1032</v>
      </c>
      <c r="H40" s="485" t="s">
        <v>48</v>
      </c>
      <c r="J40" s="485" t="s">
        <v>649</v>
      </c>
      <c r="K40" s="844">
        <v>71.5</v>
      </c>
      <c r="L40" s="538" t="s">
        <v>906</v>
      </c>
      <c r="M40" s="852"/>
    </row>
    <row r="41" spans="2:13">
      <c r="D41" s="485" t="s">
        <v>979</v>
      </c>
      <c r="E41" s="485">
        <v>550</v>
      </c>
      <c r="G41" s="485" t="s">
        <v>1033</v>
      </c>
      <c r="H41" s="485" t="s">
        <v>49</v>
      </c>
      <c r="J41" s="485" t="s">
        <v>650</v>
      </c>
      <c r="K41" s="844">
        <v>71.5</v>
      </c>
      <c r="L41" s="538" t="s">
        <v>906</v>
      </c>
      <c r="M41" s="852"/>
    </row>
    <row r="42" spans="2:13">
      <c r="D42" s="485"/>
      <c r="E42" s="485"/>
      <c r="G42" s="485" t="s">
        <v>1034</v>
      </c>
      <c r="H42" s="485" t="s">
        <v>48</v>
      </c>
      <c r="J42" s="485" t="s">
        <v>651</v>
      </c>
      <c r="K42" s="844">
        <v>75</v>
      </c>
      <c r="L42" s="538" t="s">
        <v>906</v>
      </c>
      <c r="M42" s="852"/>
    </row>
    <row r="43" spans="2:13">
      <c r="D43" s="485" t="s">
        <v>980</v>
      </c>
      <c r="E43" s="485">
        <v>10</v>
      </c>
      <c r="G43" s="485" t="s">
        <v>1035</v>
      </c>
      <c r="H43" s="485" t="s">
        <v>48</v>
      </c>
      <c r="J43" s="485" t="s">
        <v>303</v>
      </c>
      <c r="K43" s="844">
        <v>75</v>
      </c>
      <c r="L43" s="538" t="s">
        <v>906</v>
      </c>
      <c r="M43" s="852"/>
    </row>
    <row r="44" spans="2:13">
      <c r="D44" s="485" t="s">
        <v>981</v>
      </c>
      <c r="E44" s="485">
        <v>1400</v>
      </c>
      <c r="G44" s="485" t="s">
        <v>1036</v>
      </c>
      <c r="H44" s="485" t="s">
        <v>49</v>
      </c>
      <c r="J44" s="485" t="s">
        <v>304</v>
      </c>
      <c r="K44" s="844">
        <v>75</v>
      </c>
      <c r="L44" s="538" t="s">
        <v>907</v>
      </c>
      <c r="M44" s="852">
        <v>12</v>
      </c>
    </row>
    <row r="45" spans="2:13">
      <c r="D45" s="485" t="s">
        <v>982</v>
      </c>
      <c r="E45" s="485">
        <v>5</v>
      </c>
      <c r="G45" s="485" t="s">
        <v>1037</v>
      </c>
      <c r="H45" s="485" t="s">
        <v>49</v>
      </c>
      <c r="J45" s="485" t="s">
        <v>305</v>
      </c>
      <c r="K45" s="844">
        <v>80</v>
      </c>
      <c r="L45" s="538" t="s">
        <v>906</v>
      </c>
      <c r="M45" s="852">
        <v>25</v>
      </c>
    </row>
    <row r="46" spans="2:13">
      <c r="D46" s="485" t="s">
        <v>983</v>
      </c>
      <c r="E46" s="485">
        <v>3</v>
      </c>
      <c r="G46" s="485" t="s">
        <v>1038</v>
      </c>
      <c r="H46" s="485" t="s">
        <v>48</v>
      </c>
      <c r="J46" s="485" t="s">
        <v>306</v>
      </c>
      <c r="K46" s="844">
        <v>77.5</v>
      </c>
      <c r="L46" s="538" t="s">
        <v>908</v>
      </c>
      <c r="M46" s="852"/>
    </row>
    <row r="47" spans="2:13">
      <c r="D47" s="485" t="s">
        <v>984</v>
      </c>
      <c r="E47" s="485">
        <v>3</v>
      </c>
      <c r="G47" s="485" t="s">
        <v>1039</v>
      </c>
      <c r="H47" s="485" t="s">
        <v>48</v>
      </c>
      <c r="J47" s="485" t="s">
        <v>307</v>
      </c>
      <c r="K47" s="844">
        <v>77.5</v>
      </c>
      <c r="L47" s="538" t="s">
        <v>906</v>
      </c>
      <c r="M47" s="852">
        <v>15</v>
      </c>
    </row>
    <row r="48" spans="2:13">
      <c r="D48" s="485" t="s">
        <v>985</v>
      </c>
      <c r="E48" s="485">
        <v>90</v>
      </c>
      <c r="G48" s="485" t="s">
        <v>1040</v>
      </c>
      <c r="H48" s="485" t="s">
        <v>48</v>
      </c>
      <c r="J48" s="485" t="s">
        <v>308</v>
      </c>
      <c r="K48" s="844">
        <v>81.5</v>
      </c>
      <c r="L48" s="538" t="s">
        <v>898</v>
      </c>
      <c r="M48" s="852"/>
    </row>
    <row r="49" spans="4:13">
      <c r="D49" s="485" t="s">
        <v>986</v>
      </c>
      <c r="E49" s="485">
        <v>180</v>
      </c>
      <c r="G49" s="485" t="s">
        <v>1041</v>
      </c>
      <c r="H49" s="485" t="s">
        <v>48</v>
      </c>
      <c r="J49" s="485" t="s">
        <v>309</v>
      </c>
      <c r="K49" s="844">
        <v>77.5</v>
      </c>
      <c r="L49" s="538" t="s">
        <v>908</v>
      </c>
      <c r="M49" s="852">
        <v>15</v>
      </c>
    </row>
    <row r="50" spans="4:13">
      <c r="D50" s="485" t="s">
        <v>987</v>
      </c>
      <c r="E50" s="485">
        <v>360</v>
      </c>
      <c r="G50" s="485" t="s">
        <v>1042</v>
      </c>
      <c r="H50" s="485" t="s">
        <v>49</v>
      </c>
      <c r="J50" s="485" t="s">
        <v>310</v>
      </c>
      <c r="K50" s="844">
        <v>77.5</v>
      </c>
      <c r="L50" s="538" t="s">
        <v>907</v>
      </c>
      <c r="M50" s="852">
        <v>10</v>
      </c>
    </row>
    <row r="51" spans="4:13">
      <c r="D51" s="485" t="s">
        <v>988</v>
      </c>
      <c r="E51" s="485">
        <v>2</v>
      </c>
      <c r="G51" s="485" t="s">
        <v>1043</v>
      </c>
      <c r="H51" s="485" t="s">
        <v>48</v>
      </c>
      <c r="J51" s="485" t="s">
        <v>311</v>
      </c>
      <c r="K51" s="844">
        <v>75</v>
      </c>
      <c r="L51" s="538" t="s">
        <v>909</v>
      </c>
      <c r="M51" s="852">
        <v>11</v>
      </c>
    </row>
    <row r="52" spans="4:13">
      <c r="D52" s="485" t="s">
        <v>989</v>
      </c>
      <c r="E52" s="485">
        <v>1</v>
      </c>
      <c r="G52" s="485" t="s">
        <v>1044</v>
      </c>
      <c r="H52" s="485" t="s">
        <v>49</v>
      </c>
      <c r="J52" s="485" t="s">
        <v>312</v>
      </c>
      <c r="K52" s="844">
        <v>75</v>
      </c>
      <c r="L52" s="538" t="s">
        <v>897</v>
      </c>
      <c r="M52" s="852">
        <v>11</v>
      </c>
    </row>
    <row r="53" spans="4:13">
      <c r="D53" s="485" t="s">
        <v>990</v>
      </c>
      <c r="E53" s="485">
        <v>0</v>
      </c>
      <c r="G53" s="485" t="s">
        <v>1045</v>
      </c>
      <c r="H53" s="485" t="s">
        <v>49</v>
      </c>
      <c r="J53" s="485" t="s">
        <v>313</v>
      </c>
      <c r="K53" s="844">
        <v>75</v>
      </c>
      <c r="L53" s="538" t="s">
        <v>910</v>
      </c>
      <c r="M53" s="852">
        <v>11</v>
      </c>
    </row>
    <row r="54" spans="4:13">
      <c r="D54" s="485" t="s">
        <v>991</v>
      </c>
      <c r="E54" s="485">
        <v>1000</v>
      </c>
      <c r="G54" s="485" t="s">
        <v>1046</v>
      </c>
      <c r="H54" s="485" t="s">
        <v>48</v>
      </c>
      <c r="J54" s="485" t="s">
        <v>314</v>
      </c>
      <c r="K54" s="844">
        <v>73</v>
      </c>
      <c r="L54" s="538" t="s">
        <v>911</v>
      </c>
      <c r="M54" s="852">
        <v>12</v>
      </c>
    </row>
    <row r="55" spans="4:13">
      <c r="D55" s="485" t="s">
        <v>992</v>
      </c>
      <c r="E55" s="485">
        <v>650</v>
      </c>
      <c r="G55" s="485" t="s">
        <v>1047</v>
      </c>
      <c r="H55" s="485" t="s">
        <v>49</v>
      </c>
      <c r="J55" s="485" t="s">
        <v>315</v>
      </c>
      <c r="K55" s="844">
        <v>70</v>
      </c>
      <c r="L55" s="538" t="s">
        <v>912</v>
      </c>
      <c r="M55" s="852">
        <v>10</v>
      </c>
    </row>
    <row r="56" spans="4:13">
      <c r="D56" s="485" t="s">
        <v>66</v>
      </c>
      <c r="E56" s="485">
        <v>3</v>
      </c>
      <c r="G56" s="485" t="s">
        <v>1048</v>
      </c>
      <c r="H56" s="485" t="s">
        <v>49</v>
      </c>
      <c r="J56" s="485" t="s">
        <v>316</v>
      </c>
      <c r="K56" s="844">
        <v>73</v>
      </c>
      <c r="L56" s="538" t="s">
        <v>904</v>
      </c>
      <c r="M56" s="852">
        <v>10</v>
      </c>
    </row>
    <row r="57" spans="4:13">
      <c r="D57" s="485" t="s">
        <v>993</v>
      </c>
      <c r="E57" s="485">
        <v>4</v>
      </c>
      <c r="G57" s="485" t="s">
        <v>1049</v>
      </c>
      <c r="H57" s="485" t="s">
        <v>48</v>
      </c>
      <c r="J57" s="485" t="s">
        <v>317</v>
      </c>
      <c r="K57" s="844">
        <v>71</v>
      </c>
      <c r="L57" s="538" t="s">
        <v>913</v>
      </c>
      <c r="M57" s="852">
        <v>12</v>
      </c>
    </row>
    <row r="58" spans="4:13">
      <c r="D58" s="485" t="s">
        <v>994</v>
      </c>
      <c r="E58" s="485">
        <v>1</v>
      </c>
      <c r="G58" s="485" t="s">
        <v>1050</v>
      </c>
      <c r="H58" s="485" t="s">
        <v>49</v>
      </c>
      <c r="J58" s="485" t="s">
        <v>318</v>
      </c>
      <c r="K58" s="844">
        <v>75</v>
      </c>
      <c r="L58" s="538" t="s">
        <v>912</v>
      </c>
      <c r="M58" s="852">
        <v>12</v>
      </c>
    </row>
    <row r="59" spans="4:13">
      <c r="D59" s="485"/>
      <c r="E59" s="485"/>
      <c r="G59" s="485" t="s">
        <v>1051</v>
      </c>
      <c r="H59" s="485" t="s">
        <v>48</v>
      </c>
      <c r="J59" s="485" t="s">
        <v>319</v>
      </c>
      <c r="K59" s="844">
        <v>69</v>
      </c>
      <c r="L59" s="538" t="s">
        <v>894</v>
      </c>
      <c r="M59" s="852">
        <v>9</v>
      </c>
    </row>
    <row r="60" spans="4:13">
      <c r="G60" s="485" t="s">
        <v>1052</v>
      </c>
      <c r="H60" s="485" t="s">
        <v>49</v>
      </c>
      <c r="J60" s="485" t="s">
        <v>320</v>
      </c>
      <c r="K60" s="844">
        <v>75</v>
      </c>
      <c r="L60" s="538" t="s">
        <v>914</v>
      </c>
      <c r="M60" s="852">
        <v>10</v>
      </c>
    </row>
    <row r="61" spans="4:13">
      <c r="G61" s="485" t="s">
        <v>1053</v>
      </c>
      <c r="H61" s="485" t="s">
        <v>48</v>
      </c>
      <c r="J61" s="485" t="s">
        <v>321</v>
      </c>
      <c r="K61" s="844">
        <v>74</v>
      </c>
      <c r="L61" s="538" t="s">
        <v>915</v>
      </c>
      <c r="M61" s="852">
        <v>12</v>
      </c>
    </row>
    <row r="62" spans="4:13">
      <c r="G62" s="485" t="s">
        <v>1054</v>
      </c>
      <c r="H62" s="485" t="s">
        <v>48</v>
      </c>
      <c r="J62" s="485" t="s">
        <v>322</v>
      </c>
      <c r="K62" s="844">
        <v>80</v>
      </c>
      <c r="L62" s="538" t="s">
        <v>916</v>
      </c>
      <c r="M62" s="852">
        <v>12</v>
      </c>
    </row>
    <row r="63" spans="4:13">
      <c r="G63" s="485" t="s">
        <v>1055</v>
      </c>
      <c r="H63" s="485" t="s">
        <v>49</v>
      </c>
      <c r="J63" s="485" t="s">
        <v>323</v>
      </c>
      <c r="K63" s="845">
        <v>78</v>
      </c>
      <c r="L63" s="538" t="s">
        <v>917</v>
      </c>
      <c r="M63" s="853">
        <v>12</v>
      </c>
    </row>
    <row r="64" spans="4:13">
      <c r="G64" s="485" t="s">
        <v>1056</v>
      </c>
      <c r="H64" s="485" t="s">
        <v>49</v>
      </c>
      <c r="J64" s="485" t="s">
        <v>324</v>
      </c>
      <c r="K64" s="845">
        <v>76.5</v>
      </c>
      <c r="L64" s="538" t="s">
        <v>918</v>
      </c>
      <c r="M64" s="853">
        <v>12</v>
      </c>
    </row>
    <row r="65" spans="7:13">
      <c r="G65" s="485" t="s">
        <v>1057</v>
      </c>
      <c r="H65" s="485" t="s">
        <v>48</v>
      </c>
      <c r="J65" s="485" t="s">
        <v>325</v>
      </c>
      <c r="K65" s="845">
        <v>77.5</v>
      </c>
      <c r="L65" s="538" t="s">
        <v>916</v>
      </c>
      <c r="M65" s="853">
        <v>11</v>
      </c>
    </row>
    <row r="66" spans="7:13">
      <c r="G66" s="485" t="s">
        <v>1058</v>
      </c>
      <c r="H66" s="485" t="s">
        <v>48</v>
      </c>
      <c r="J66" s="485" t="s">
        <v>326</v>
      </c>
      <c r="K66" s="845">
        <v>77.5</v>
      </c>
      <c r="L66" s="538" t="s">
        <v>919</v>
      </c>
      <c r="M66" s="853">
        <v>12</v>
      </c>
    </row>
    <row r="67" spans="7:13">
      <c r="G67" s="485" t="s">
        <v>1059</v>
      </c>
      <c r="H67" s="485" t="s">
        <v>48</v>
      </c>
      <c r="J67" s="485" t="s">
        <v>327</v>
      </c>
      <c r="K67" s="845">
        <v>77</v>
      </c>
      <c r="L67" s="538" t="s">
        <v>920</v>
      </c>
      <c r="M67" s="853">
        <v>12</v>
      </c>
    </row>
    <row r="68" spans="7:13">
      <c r="G68" s="485" t="s">
        <v>1060</v>
      </c>
      <c r="H68" s="485" t="s">
        <v>48</v>
      </c>
      <c r="J68" s="485" t="s">
        <v>328</v>
      </c>
      <c r="K68" s="845">
        <v>74</v>
      </c>
      <c r="L68" s="538" t="s">
        <v>915</v>
      </c>
      <c r="M68" s="853">
        <v>11</v>
      </c>
    </row>
    <row r="69" spans="7:13">
      <c r="G69" s="485" t="s">
        <v>1061</v>
      </c>
      <c r="H69" s="485" t="s">
        <v>48</v>
      </c>
      <c r="J69" s="485" t="s">
        <v>32</v>
      </c>
      <c r="K69" s="845"/>
      <c r="L69" s="538"/>
      <c r="M69" s="853"/>
    </row>
    <row r="70" spans="7:13">
      <c r="G70" s="485" t="s">
        <v>1062</v>
      </c>
      <c r="H70" s="485" t="s">
        <v>48</v>
      </c>
      <c r="J70" s="496" t="s">
        <v>212</v>
      </c>
      <c r="K70" s="845"/>
      <c r="L70" s="538"/>
      <c r="M70" s="853"/>
    </row>
    <row r="71" spans="7:13">
      <c r="G71" s="485" t="s">
        <v>1063</v>
      </c>
      <c r="H71" s="485" t="s">
        <v>48</v>
      </c>
      <c r="J71" s="485" t="s">
        <v>239</v>
      </c>
      <c r="K71" s="845"/>
      <c r="L71" s="538"/>
      <c r="M71" s="853"/>
    </row>
    <row r="72" spans="7:13">
      <c r="G72" s="485" t="s">
        <v>1064</v>
      </c>
      <c r="H72" s="485" t="s">
        <v>49</v>
      </c>
      <c r="J72" s="485" t="s">
        <v>844</v>
      </c>
      <c r="K72" s="845"/>
      <c r="L72" s="538" t="s">
        <v>921</v>
      </c>
      <c r="M72" s="853"/>
    </row>
    <row r="73" spans="7:13">
      <c r="G73" s="485" t="s">
        <v>1065</v>
      </c>
      <c r="H73" s="485" t="s">
        <v>49</v>
      </c>
      <c r="J73" s="485" t="s">
        <v>206</v>
      </c>
      <c r="K73" s="845">
        <v>75</v>
      </c>
      <c r="L73" s="538" t="s">
        <v>921</v>
      </c>
      <c r="M73" s="853"/>
    </row>
    <row r="74" spans="7:13">
      <c r="G74" s="485" t="s">
        <v>1066</v>
      </c>
      <c r="H74" s="485" t="s">
        <v>48</v>
      </c>
      <c r="J74" s="485" t="s">
        <v>207</v>
      </c>
      <c r="K74" s="845">
        <v>75</v>
      </c>
      <c r="L74" s="538" t="s">
        <v>921</v>
      </c>
      <c r="M74" s="853"/>
    </row>
    <row r="75" spans="7:13">
      <c r="G75" s="485" t="s">
        <v>1067</v>
      </c>
      <c r="H75" s="485" t="s">
        <v>48</v>
      </c>
      <c r="J75" s="485" t="s">
        <v>685</v>
      </c>
      <c r="K75" s="845">
        <v>82</v>
      </c>
      <c r="L75" s="538" t="s">
        <v>922</v>
      </c>
      <c r="M75" s="853">
        <v>10</v>
      </c>
    </row>
    <row r="76" spans="7:13">
      <c r="G76" s="485" t="s">
        <v>1068</v>
      </c>
      <c r="H76" s="485" t="s">
        <v>49</v>
      </c>
      <c r="J76" s="485" t="s">
        <v>686</v>
      </c>
      <c r="K76" s="845">
        <v>82</v>
      </c>
      <c r="L76" s="538" t="s">
        <v>923</v>
      </c>
      <c r="M76" s="853">
        <v>10</v>
      </c>
    </row>
    <row r="77" spans="7:13">
      <c r="G77" s="485" t="s">
        <v>1069</v>
      </c>
      <c r="H77" s="485" t="s">
        <v>49</v>
      </c>
      <c r="J77" s="485" t="s">
        <v>687</v>
      </c>
      <c r="K77" s="845">
        <v>82</v>
      </c>
      <c r="L77" s="538" t="s">
        <v>922</v>
      </c>
      <c r="M77" s="853">
        <v>10</v>
      </c>
    </row>
    <row r="78" spans="7:13">
      <c r="G78" s="485" t="s">
        <v>1070</v>
      </c>
      <c r="H78" s="485" t="s">
        <v>48</v>
      </c>
      <c r="J78" s="485" t="s">
        <v>688</v>
      </c>
      <c r="K78" s="845"/>
      <c r="L78" s="538" t="s">
        <v>924</v>
      </c>
      <c r="M78" s="853">
        <v>6.9</v>
      </c>
    </row>
    <row r="79" spans="7:13">
      <c r="G79" s="485" t="s">
        <v>1071</v>
      </c>
      <c r="H79" s="485" t="s">
        <v>48</v>
      </c>
      <c r="J79" s="485" t="s">
        <v>667</v>
      </c>
      <c r="K79" s="845"/>
      <c r="L79" s="538" t="s">
        <v>925</v>
      </c>
      <c r="M79" s="853">
        <v>7.5</v>
      </c>
    </row>
    <row r="80" spans="7:13">
      <c r="G80" s="485" t="s">
        <v>1072</v>
      </c>
      <c r="H80" s="485" t="s">
        <v>48</v>
      </c>
      <c r="J80" s="485" t="s">
        <v>689</v>
      </c>
      <c r="K80" s="845"/>
      <c r="L80" s="538" t="s">
        <v>904</v>
      </c>
      <c r="M80" s="853"/>
    </row>
    <row r="81" spans="7:13">
      <c r="G81" s="485" t="s">
        <v>1073</v>
      </c>
      <c r="H81" s="485" t="s">
        <v>48</v>
      </c>
      <c r="J81" s="485" t="s">
        <v>690</v>
      </c>
      <c r="K81" s="845"/>
      <c r="L81" s="538" t="s">
        <v>926</v>
      </c>
      <c r="M81" s="853"/>
    </row>
    <row r="82" spans="7:13">
      <c r="G82" s="485" t="s">
        <v>1074</v>
      </c>
      <c r="H82" s="485" t="s">
        <v>48</v>
      </c>
      <c r="J82" s="485" t="s">
        <v>691</v>
      </c>
      <c r="K82" s="845"/>
      <c r="L82" s="538" t="s">
        <v>921</v>
      </c>
      <c r="M82" s="853"/>
    </row>
    <row r="83" spans="7:13">
      <c r="G83" s="485" t="s">
        <v>1075</v>
      </c>
      <c r="H83" s="485" t="s">
        <v>48</v>
      </c>
      <c r="J83" s="485" t="s">
        <v>329</v>
      </c>
      <c r="K83" s="845">
        <v>74.5</v>
      </c>
      <c r="L83" s="538" t="s">
        <v>927</v>
      </c>
      <c r="M83" s="853"/>
    </row>
    <row r="84" spans="7:13">
      <c r="G84" s="485" t="s">
        <v>1076</v>
      </c>
      <c r="H84" s="485" t="s">
        <v>49</v>
      </c>
      <c r="J84" s="485" t="s">
        <v>330</v>
      </c>
      <c r="K84" s="845">
        <v>77.5</v>
      </c>
      <c r="L84" s="538" t="s">
        <v>927</v>
      </c>
      <c r="M84" s="853"/>
    </row>
    <row r="85" spans="7:13">
      <c r="G85" s="485" t="s">
        <v>1077</v>
      </c>
      <c r="H85" s="485" t="s">
        <v>49</v>
      </c>
      <c r="J85" s="485" t="s">
        <v>331</v>
      </c>
      <c r="K85" s="845">
        <v>67.5</v>
      </c>
      <c r="L85" s="538" t="s">
        <v>928</v>
      </c>
      <c r="M85" s="853"/>
    </row>
    <row r="86" spans="7:13">
      <c r="G86" s="485" t="s">
        <v>1078</v>
      </c>
      <c r="H86" s="485" t="s">
        <v>49</v>
      </c>
      <c r="J86" s="485" t="s">
        <v>332</v>
      </c>
      <c r="K86" s="845">
        <v>69</v>
      </c>
      <c r="L86" s="538" t="s">
        <v>929</v>
      </c>
      <c r="M86" s="853"/>
    </row>
    <row r="87" spans="7:13">
      <c r="G87" s="485" t="s">
        <v>1079</v>
      </c>
      <c r="H87" s="485" t="s">
        <v>49</v>
      </c>
      <c r="J87" s="485" t="s">
        <v>333</v>
      </c>
      <c r="K87" s="845">
        <v>76.5</v>
      </c>
      <c r="L87" s="538" t="s">
        <v>927</v>
      </c>
      <c r="M87" s="853"/>
    </row>
    <row r="88" spans="7:13">
      <c r="G88" s="485" t="s">
        <v>1080</v>
      </c>
      <c r="H88" s="485" t="s">
        <v>49</v>
      </c>
      <c r="J88" s="485" t="s">
        <v>692</v>
      </c>
      <c r="K88" s="845">
        <v>73</v>
      </c>
      <c r="L88" s="538" t="s">
        <v>930</v>
      </c>
      <c r="M88" s="853"/>
    </row>
    <row r="89" spans="7:13">
      <c r="G89" s="485" t="s">
        <v>1081</v>
      </c>
      <c r="H89" s="485" t="s">
        <v>48</v>
      </c>
      <c r="J89" s="485" t="s">
        <v>334</v>
      </c>
      <c r="K89" s="845">
        <v>71</v>
      </c>
      <c r="L89" s="538" t="s">
        <v>927</v>
      </c>
      <c r="M89" s="853"/>
    </row>
    <row r="90" spans="7:13">
      <c r="G90" s="485" t="s">
        <v>1082</v>
      </c>
      <c r="H90" s="485" t="s">
        <v>49</v>
      </c>
      <c r="J90" s="485" t="s">
        <v>335</v>
      </c>
      <c r="K90" s="845">
        <v>69.5</v>
      </c>
      <c r="L90" s="538" t="s">
        <v>931</v>
      </c>
      <c r="M90" s="853"/>
    </row>
    <row r="91" spans="7:13">
      <c r="G91" s="485" t="s">
        <v>1083</v>
      </c>
      <c r="H91" s="485" t="s">
        <v>49</v>
      </c>
      <c r="J91" s="485" t="s">
        <v>336</v>
      </c>
      <c r="K91" s="845">
        <v>69</v>
      </c>
      <c r="L91" s="538" t="s">
        <v>932</v>
      </c>
      <c r="M91" s="853">
        <v>9</v>
      </c>
    </row>
    <row r="92" spans="7:13">
      <c r="G92" s="485" t="s">
        <v>1084</v>
      </c>
      <c r="H92" s="485" t="s">
        <v>48</v>
      </c>
      <c r="J92" s="485" t="s">
        <v>337</v>
      </c>
      <c r="K92" s="845">
        <v>71</v>
      </c>
      <c r="L92" s="538" t="s">
        <v>933</v>
      </c>
      <c r="M92" s="853">
        <v>9</v>
      </c>
    </row>
    <row r="93" spans="7:13">
      <c r="G93" s="485" t="s">
        <v>1085</v>
      </c>
      <c r="H93" s="485" t="s">
        <v>48</v>
      </c>
      <c r="J93" s="485" t="s">
        <v>338</v>
      </c>
      <c r="K93" s="845">
        <v>75</v>
      </c>
      <c r="L93" s="538" t="s">
        <v>926</v>
      </c>
      <c r="M93" s="853">
        <v>9</v>
      </c>
    </row>
    <row r="94" spans="7:13">
      <c r="G94" s="485" t="s">
        <v>1086</v>
      </c>
      <c r="H94" s="485" t="s">
        <v>48</v>
      </c>
      <c r="J94" s="485" t="s">
        <v>339</v>
      </c>
      <c r="K94" s="845">
        <v>72</v>
      </c>
      <c r="L94" s="538" t="s">
        <v>923</v>
      </c>
      <c r="M94" s="853">
        <v>9</v>
      </c>
    </row>
    <row r="95" spans="7:13">
      <c r="G95" s="485" t="s">
        <v>1087</v>
      </c>
      <c r="H95" s="485" t="s">
        <v>48</v>
      </c>
      <c r="J95" s="485" t="s">
        <v>340</v>
      </c>
      <c r="K95" s="845">
        <v>75</v>
      </c>
      <c r="L95" s="538" t="s">
        <v>934</v>
      </c>
      <c r="M95" s="853">
        <v>9</v>
      </c>
    </row>
    <row r="96" spans="7:13">
      <c r="G96" s="485" t="s">
        <v>1088</v>
      </c>
      <c r="H96" s="485" t="s">
        <v>48</v>
      </c>
      <c r="J96" s="485" t="s">
        <v>32</v>
      </c>
      <c r="K96" s="845"/>
      <c r="L96" s="538"/>
      <c r="M96" s="853">
        <v>0</v>
      </c>
    </row>
    <row r="97" spans="7:13">
      <c r="G97" s="485" t="s">
        <v>1089</v>
      </c>
      <c r="H97" s="485" t="s">
        <v>48</v>
      </c>
      <c r="J97" s="496" t="s">
        <v>213</v>
      </c>
      <c r="K97" s="845"/>
      <c r="L97" s="538"/>
      <c r="M97" s="853">
        <v>0</v>
      </c>
    </row>
    <row r="98" spans="7:13">
      <c r="G98" s="485" t="s">
        <v>1090</v>
      </c>
      <c r="H98" s="485" t="s">
        <v>49</v>
      </c>
      <c r="J98" s="485" t="s">
        <v>239</v>
      </c>
      <c r="K98" s="845"/>
      <c r="L98" s="538"/>
      <c r="M98" s="853"/>
    </row>
    <row r="99" spans="7:13">
      <c r="G99" s="485" t="s">
        <v>1091</v>
      </c>
      <c r="H99" s="485" t="s">
        <v>48</v>
      </c>
      <c r="J99" s="485" t="s">
        <v>841</v>
      </c>
      <c r="K99" s="845">
        <v>75</v>
      </c>
      <c r="L99" s="538" t="s">
        <v>905</v>
      </c>
      <c r="M99" s="853"/>
    </row>
    <row r="100" spans="7:13">
      <c r="G100" s="485" t="s">
        <v>1092</v>
      </c>
      <c r="H100" s="485" t="s">
        <v>48</v>
      </c>
      <c r="J100" s="485" t="s">
        <v>842</v>
      </c>
      <c r="K100" s="845">
        <v>75</v>
      </c>
      <c r="L100" s="538" t="s">
        <v>935</v>
      </c>
      <c r="M100" s="853"/>
    </row>
    <row r="101" spans="7:13">
      <c r="G101" s="485" t="s">
        <v>1093</v>
      </c>
      <c r="H101" s="485" t="s">
        <v>48</v>
      </c>
      <c r="J101" s="485" t="s">
        <v>208</v>
      </c>
      <c r="K101" s="845">
        <v>70</v>
      </c>
      <c r="L101" s="538" t="s">
        <v>912</v>
      </c>
      <c r="M101" s="853"/>
    </row>
    <row r="102" spans="7:13">
      <c r="G102" s="485" t="s">
        <v>1094</v>
      </c>
      <c r="H102" s="485" t="s">
        <v>48</v>
      </c>
      <c r="J102" s="485" t="s">
        <v>209</v>
      </c>
      <c r="K102" s="845">
        <v>75</v>
      </c>
      <c r="L102" s="538" t="s">
        <v>915</v>
      </c>
      <c r="M102" s="853"/>
    </row>
    <row r="103" spans="7:13">
      <c r="G103" s="485" t="s">
        <v>1095</v>
      </c>
      <c r="H103" s="485" t="s">
        <v>48</v>
      </c>
      <c r="J103" s="485" t="s">
        <v>684</v>
      </c>
      <c r="K103" s="845">
        <v>86</v>
      </c>
      <c r="L103" s="538" t="s">
        <v>912</v>
      </c>
      <c r="M103" s="853">
        <v>10</v>
      </c>
    </row>
    <row r="104" spans="7:13">
      <c r="G104" s="485" t="s">
        <v>1096</v>
      </c>
      <c r="H104" s="485" t="s">
        <v>48</v>
      </c>
      <c r="J104" s="485" t="s">
        <v>662</v>
      </c>
      <c r="K104" s="845"/>
      <c r="L104" s="538" t="s">
        <v>898</v>
      </c>
      <c r="M104" s="853">
        <v>7.7</v>
      </c>
    </row>
    <row r="105" spans="7:13">
      <c r="G105" s="485" t="s">
        <v>1097</v>
      </c>
      <c r="H105" s="485" t="s">
        <v>49</v>
      </c>
      <c r="J105" s="485" t="s">
        <v>672</v>
      </c>
      <c r="K105" s="845"/>
      <c r="L105" s="538" t="s">
        <v>936</v>
      </c>
      <c r="M105" s="853"/>
    </row>
    <row r="106" spans="7:13">
      <c r="G106" s="485" t="s">
        <v>1098</v>
      </c>
      <c r="H106" s="485" t="s">
        <v>48</v>
      </c>
      <c r="J106" s="485" t="s">
        <v>341</v>
      </c>
      <c r="K106" s="845">
        <v>74</v>
      </c>
      <c r="L106" s="538" t="s">
        <v>935</v>
      </c>
      <c r="M106" s="853"/>
    </row>
    <row r="107" spans="7:13">
      <c r="G107" s="485" t="s">
        <v>1099</v>
      </c>
      <c r="H107" s="485" t="s">
        <v>48</v>
      </c>
      <c r="J107" s="485" t="s">
        <v>342</v>
      </c>
      <c r="K107" s="845">
        <v>76.5</v>
      </c>
      <c r="L107" s="538" t="s">
        <v>907</v>
      </c>
      <c r="M107" s="853">
        <v>10</v>
      </c>
    </row>
    <row r="108" spans="7:13">
      <c r="G108" s="485" t="s">
        <v>1100</v>
      </c>
      <c r="H108" s="485" t="s">
        <v>48</v>
      </c>
      <c r="J108" s="485" t="s">
        <v>343</v>
      </c>
      <c r="K108" s="845">
        <v>76</v>
      </c>
      <c r="L108" s="538" t="s">
        <v>937</v>
      </c>
      <c r="M108" s="853">
        <v>10</v>
      </c>
    </row>
    <row r="109" spans="7:13">
      <c r="G109" s="485" t="s">
        <v>1101</v>
      </c>
      <c r="H109" s="485" t="s">
        <v>48</v>
      </c>
      <c r="J109" s="485" t="s">
        <v>344</v>
      </c>
      <c r="K109" s="845">
        <v>75</v>
      </c>
      <c r="L109" s="538" t="s">
        <v>912</v>
      </c>
      <c r="M109" s="853">
        <v>10</v>
      </c>
    </row>
    <row r="110" spans="7:13">
      <c r="G110" s="485" t="s">
        <v>1102</v>
      </c>
      <c r="H110" s="485" t="s">
        <v>49</v>
      </c>
      <c r="J110" s="485" t="s">
        <v>345</v>
      </c>
      <c r="K110" s="845">
        <v>73</v>
      </c>
      <c r="L110" s="538" t="s">
        <v>912</v>
      </c>
      <c r="M110" s="853">
        <v>10</v>
      </c>
    </row>
    <row r="111" spans="7:13">
      <c r="G111" s="485" t="s">
        <v>1103</v>
      </c>
      <c r="H111" s="485" t="s">
        <v>48</v>
      </c>
      <c r="J111" s="485" t="s">
        <v>32</v>
      </c>
      <c r="K111" s="845"/>
      <c r="L111" s="538"/>
      <c r="M111" s="853"/>
    </row>
    <row r="112" spans="7:13">
      <c r="G112" s="485" t="s">
        <v>1104</v>
      </c>
      <c r="H112" s="485" t="s">
        <v>48</v>
      </c>
    </row>
    <row r="113" spans="7:8">
      <c r="G113" s="485" t="s">
        <v>1105</v>
      </c>
      <c r="H113" s="485" t="s">
        <v>48</v>
      </c>
    </row>
    <row r="114" spans="7:8">
      <c r="G114" s="485" t="s">
        <v>1106</v>
      </c>
      <c r="H114" s="485" t="s">
        <v>48</v>
      </c>
    </row>
    <row r="115" spans="7:8">
      <c r="G115" s="485" t="s">
        <v>1107</v>
      </c>
      <c r="H115" s="485" t="s">
        <v>48</v>
      </c>
    </row>
    <row r="116" spans="7:8">
      <c r="G116" s="485" t="s">
        <v>1108</v>
      </c>
      <c r="H116" s="485" t="s">
        <v>48</v>
      </c>
    </row>
    <row r="117" spans="7:8">
      <c r="G117" s="485" t="s">
        <v>1109</v>
      </c>
      <c r="H117" s="485" t="s">
        <v>48</v>
      </c>
    </row>
    <row r="118" spans="7:8">
      <c r="G118" s="485" t="s">
        <v>1110</v>
      </c>
      <c r="H118" s="485" t="s">
        <v>48</v>
      </c>
    </row>
    <row r="119" spans="7:8">
      <c r="G119" s="485" t="s">
        <v>1111</v>
      </c>
      <c r="H119" s="485" t="s">
        <v>49</v>
      </c>
    </row>
    <row r="120" spans="7:8">
      <c r="G120" s="485" t="s">
        <v>1112</v>
      </c>
      <c r="H120" s="485" t="s">
        <v>49</v>
      </c>
    </row>
    <row r="121" spans="7:8">
      <c r="G121" s="485" t="s">
        <v>1113</v>
      </c>
      <c r="H121" s="485" t="s">
        <v>49</v>
      </c>
    </row>
    <row r="122" spans="7:8">
      <c r="G122" s="485" t="s">
        <v>1114</v>
      </c>
      <c r="H122" s="485" t="s">
        <v>49</v>
      </c>
    </row>
    <row r="123" spans="7:8">
      <c r="G123" s="485" t="s">
        <v>1115</v>
      </c>
      <c r="H123" s="485" t="s">
        <v>48</v>
      </c>
    </row>
    <row r="124" spans="7:8">
      <c r="G124" s="485" t="s">
        <v>1116</v>
      </c>
      <c r="H124" s="485" t="s">
        <v>48</v>
      </c>
    </row>
    <row r="125" spans="7:8">
      <c r="G125" s="485" t="s">
        <v>1117</v>
      </c>
      <c r="H125" s="485" t="s">
        <v>49</v>
      </c>
    </row>
    <row r="126" spans="7:8">
      <c r="G126" s="485" t="s">
        <v>1118</v>
      </c>
      <c r="H126" s="485" t="s">
        <v>48</v>
      </c>
    </row>
    <row r="127" spans="7:8">
      <c r="G127" s="485" t="s">
        <v>1119</v>
      </c>
      <c r="H127" s="485" t="s">
        <v>49</v>
      </c>
    </row>
    <row r="128" spans="7:8">
      <c r="G128" s="485" t="s">
        <v>1120</v>
      </c>
      <c r="H128" s="485" t="s">
        <v>49</v>
      </c>
    </row>
    <row r="129" spans="7:8">
      <c r="G129" s="485" t="s">
        <v>1121</v>
      </c>
      <c r="H129" s="485" t="s">
        <v>48</v>
      </c>
    </row>
    <row r="130" spans="7:8">
      <c r="G130" s="485" t="s">
        <v>1122</v>
      </c>
      <c r="H130" s="485" t="s">
        <v>48</v>
      </c>
    </row>
    <row r="131" spans="7:8">
      <c r="G131" s="485" t="s">
        <v>1123</v>
      </c>
      <c r="H131" s="485" t="s">
        <v>48</v>
      </c>
    </row>
    <row r="132" spans="7:8">
      <c r="G132" s="485" t="s">
        <v>1124</v>
      </c>
      <c r="H132" s="485" t="s">
        <v>48</v>
      </c>
    </row>
    <row r="133" spans="7:8">
      <c r="G133" s="485" t="s">
        <v>1125</v>
      </c>
      <c r="H133" s="485" t="s">
        <v>48</v>
      </c>
    </row>
    <row r="134" spans="7:8">
      <c r="G134" s="485" t="s">
        <v>1126</v>
      </c>
      <c r="H134" s="485" t="s">
        <v>48</v>
      </c>
    </row>
    <row r="135" spans="7:8">
      <c r="G135" s="485" t="s">
        <v>1127</v>
      </c>
      <c r="H135" s="485" t="s">
        <v>48</v>
      </c>
    </row>
    <row r="136" spans="7:8">
      <c r="G136" s="485" t="s">
        <v>1128</v>
      </c>
      <c r="H136" s="485" t="s">
        <v>48</v>
      </c>
    </row>
    <row r="137" spans="7:8">
      <c r="G137" s="485" t="s">
        <v>1129</v>
      </c>
      <c r="H137" s="485" t="s">
        <v>49</v>
      </c>
    </row>
    <row r="138" spans="7:8">
      <c r="G138" s="485" t="s">
        <v>1130</v>
      </c>
      <c r="H138" s="485" t="s">
        <v>48</v>
      </c>
    </row>
    <row r="139" spans="7:8">
      <c r="G139" s="485" t="s">
        <v>1131</v>
      </c>
      <c r="H139" s="485" t="s">
        <v>48</v>
      </c>
    </row>
    <row r="140" spans="7:8">
      <c r="G140" s="485" t="s">
        <v>1132</v>
      </c>
      <c r="H140" s="485" t="s">
        <v>49</v>
      </c>
    </row>
    <row r="141" spans="7:8">
      <c r="G141" s="485"/>
      <c r="H141" s="485"/>
    </row>
  </sheetData>
  <dataValidations count="1">
    <dataValidation type="list" allowBlank="1" showInputMessage="1" showErrorMessage="1" sqref="H3:H141" xr:uid="{00000000-0002-0000-0200-000000000000}">
      <formula1>"Aromahopfen,Bitterhopfen"</formula1>
    </dataValidation>
  </dataValidations>
  <hyperlinks>
    <hyperlink ref="Q2" location="rechenfibel!L6" tooltip="Weiter zur Rechenfibel" display="ð" xr:uid="{00000000-0004-0000-0200-000000000000}"/>
    <hyperlink ref="O2" location="historie!A1" tooltip="zurück zur Historie" display="ï" xr:uid="{00000000-0004-0000-0200-000001000000}"/>
    <hyperlink ref="P1" location="start!A1" tooltip="zur Startseite" display="ñ" xr:uid="{00000000-0004-0000-0200-000002000000}"/>
  </hyperlinks>
  <pageMargins left="0.7" right="0.7" top="0.78740157499999996" bottom="0.78740157499999996"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57E65-D5A0-4CDA-8CED-FB4AF7EFCB97}">
  <sheetPr codeName="Tabelle7"/>
  <dimension ref="B1:AT151"/>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K2" sqref="AK2:AK3"/>
    </sheetView>
  </sheetViews>
  <sheetFormatPr baseColWidth="10" defaultColWidth="2.88671875" defaultRowHeight="15" customHeight="1"/>
  <cols>
    <col min="1" max="2" width="1.109375" style="51" customWidth="1"/>
    <col min="3" max="32" width="2.77734375" style="51" customWidth="1"/>
    <col min="33" max="33" width="3.6640625" style="51" customWidth="1"/>
    <col min="34" max="34" width="2.88671875" style="51" customWidth="1"/>
    <col min="35" max="37" width="3.109375" style="51" customWidth="1"/>
    <col min="38" max="41" width="2.88671875" style="51"/>
    <col min="42" max="43" width="3.77734375" style="51" hidden="1" customWidth="1"/>
    <col min="44" max="44" width="4.5546875" style="51" hidden="1" customWidth="1"/>
    <col min="45" max="45" width="8.109375" style="51" hidden="1" customWidth="1"/>
    <col min="46" max="46" width="8.44140625" style="51" hidden="1" customWidth="1"/>
    <col min="47" max="16384" width="2.88671875" style="51"/>
  </cols>
  <sheetData>
    <row r="1" spans="2:46" ht="6" customHeight="1" thickBot="1"/>
    <row r="2" spans="2:46" ht="15" customHeight="1">
      <c r="B2" s="220"/>
      <c r="C2" s="221"/>
      <c r="D2" s="221"/>
      <c r="E2" s="221"/>
      <c r="F2" s="221"/>
      <c r="G2" s="221"/>
      <c r="H2" s="221"/>
      <c r="I2" s="221"/>
      <c r="J2" s="885" t="s">
        <v>1247</v>
      </c>
      <c r="K2" s="886"/>
      <c r="L2" s="886"/>
      <c r="M2" s="886"/>
      <c r="N2" s="886"/>
      <c r="O2" s="886"/>
      <c r="P2" s="886"/>
      <c r="Q2" s="886"/>
      <c r="R2" s="886"/>
      <c r="S2" s="886"/>
      <c r="T2" s="886"/>
      <c r="U2" s="886"/>
      <c r="V2" s="886"/>
      <c r="W2" s="886"/>
      <c r="X2" s="886"/>
      <c r="Y2" s="886"/>
      <c r="Z2" s="887"/>
      <c r="AA2" s="52"/>
      <c r="AB2" s="52"/>
      <c r="AC2" s="854" t="s">
        <v>15</v>
      </c>
      <c r="AD2" s="883">
        <f>start!G33</f>
        <v>43590</v>
      </c>
      <c r="AE2" s="883"/>
      <c r="AF2" s="883"/>
      <c r="AG2" s="884"/>
      <c r="AI2" s="877" t="s">
        <v>246</v>
      </c>
      <c r="AJ2" s="439" t="s">
        <v>832</v>
      </c>
      <c r="AK2" s="879" t="s">
        <v>242</v>
      </c>
    </row>
    <row r="3" spans="2:46" ht="15" customHeight="1" thickBot="1">
      <c r="B3" s="53"/>
      <c r="C3" s="54"/>
      <c r="D3" s="54"/>
      <c r="E3" s="216"/>
      <c r="F3" s="55"/>
      <c r="G3" s="54"/>
      <c r="H3" s="54"/>
      <c r="I3" s="54"/>
      <c r="J3" s="888"/>
      <c r="K3" s="889"/>
      <c r="L3" s="889"/>
      <c r="M3" s="889"/>
      <c r="N3" s="889"/>
      <c r="O3" s="889"/>
      <c r="P3" s="889"/>
      <c r="Q3" s="889"/>
      <c r="R3" s="889"/>
      <c r="S3" s="889"/>
      <c r="T3" s="889"/>
      <c r="U3" s="889"/>
      <c r="V3" s="889"/>
      <c r="W3" s="889"/>
      <c r="X3" s="889"/>
      <c r="Y3" s="889"/>
      <c r="Z3" s="890"/>
      <c r="AA3" s="56"/>
      <c r="AB3" s="402"/>
      <c r="AC3" s="56" t="s">
        <v>22</v>
      </c>
      <c r="AD3" s="881">
        <v>43556</v>
      </c>
      <c r="AE3" s="881"/>
      <c r="AF3" s="881"/>
      <c r="AG3" s="882"/>
      <c r="AI3" s="878"/>
      <c r="AJ3" s="441"/>
      <c r="AK3" s="880"/>
    </row>
    <row r="4" spans="2:46" ht="3.75" customHeight="1" thickBot="1">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row>
    <row r="5" spans="2:46" ht="4.5" customHeight="1">
      <c r="B5" s="60"/>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2"/>
    </row>
    <row r="6" spans="2:46" ht="15" customHeight="1">
      <c r="B6" s="60"/>
      <c r="C6" s="530" t="s">
        <v>21</v>
      </c>
      <c r="D6" s="289" t="s">
        <v>1258</v>
      </c>
      <c r="E6" s="61"/>
      <c r="F6" s="61"/>
      <c r="G6" s="804"/>
      <c r="H6" s="804"/>
      <c r="I6" s="804"/>
      <c r="J6" s="804"/>
      <c r="K6" s="804"/>
      <c r="L6" s="949"/>
      <c r="M6" s="949"/>
      <c r="N6" s="804" t="s">
        <v>39</v>
      </c>
      <c r="O6" s="804"/>
      <c r="P6" s="805" t="s">
        <v>242</v>
      </c>
      <c r="Q6" s="891">
        <f>1+(L6/(258.6-((L6/258.2)*227.1)))</f>
        <v>1</v>
      </c>
      <c r="R6" s="891"/>
      <c r="S6" s="806" t="s">
        <v>1248</v>
      </c>
      <c r="T6" s="804"/>
      <c r="U6" s="804"/>
      <c r="V6" s="804"/>
      <c r="W6" s="1198"/>
      <c r="X6" s="1198"/>
      <c r="Y6" s="804" t="s">
        <v>1248</v>
      </c>
      <c r="Z6" s="804"/>
      <c r="AA6" s="805" t="s">
        <v>242</v>
      </c>
      <c r="AB6" s="872">
        <f>(-1*616.868)+(1111.14*W6)-(630.272*W6^2)+(135.997*W6^3)</f>
        <v>-616.9</v>
      </c>
      <c r="AC6" s="872"/>
      <c r="AD6" s="806" t="s">
        <v>39</v>
      </c>
      <c r="AE6" s="804"/>
      <c r="AF6" s="804"/>
      <c r="AG6" s="62"/>
    </row>
    <row r="7" spans="2:46" ht="15" customHeight="1">
      <c r="B7" s="60"/>
      <c r="C7" s="61"/>
      <c r="D7" s="289"/>
      <c r="E7" s="61"/>
      <c r="F7" s="61"/>
      <c r="G7" s="804"/>
      <c r="H7" s="804"/>
      <c r="I7" s="804"/>
      <c r="J7" s="804"/>
      <c r="K7" s="804"/>
      <c r="L7" s="949"/>
      <c r="M7" s="949"/>
      <c r="N7" s="804" t="s">
        <v>39</v>
      </c>
      <c r="O7" s="804"/>
      <c r="P7" s="805" t="s">
        <v>242</v>
      </c>
      <c r="Q7" s="872">
        <f>L7*1.04</f>
        <v>0</v>
      </c>
      <c r="R7" s="872"/>
      <c r="S7" s="806" t="s">
        <v>38</v>
      </c>
      <c r="T7" s="804"/>
      <c r="U7" s="804"/>
      <c r="V7" s="804"/>
      <c r="W7" s="949"/>
      <c r="X7" s="949"/>
      <c r="Y7" s="804" t="s">
        <v>38</v>
      </c>
      <c r="Z7" s="804"/>
      <c r="AA7" s="805" t="s">
        <v>242</v>
      </c>
      <c r="AB7" s="872">
        <f>W7/1.04</f>
        <v>0</v>
      </c>
      <c r="AC7" s="872"/>
      <c r="AD7" s="806" t="s">
        <v>39</v>
      </c>
      <c r="AE7" s="804"/>
      <c r="AF7" s="804"/>
      <c r="AG7" s="62"/>
    </row>
    <row r="8" spans="2:46" ht="15" customHeight="1">
      <c r="B8" s="60"/>
      <c r="C8" s="61"/>
      <c r="D8" s="61"/>
      <c r="E8" s="61"/>
      <c r="F8" s="61"/>
      <c r="G8" s="804"/>
      <c r="H8" s="804"/>
      <c r="I8" s="804"/>
      <c r="J8" s="804"/>
      <c r="K8" s="804"/>
      <c r="L8" s="949"/>
      <c r="M8" s="949"/>
      <c r="N8" s="804" t="s">
        <v>4</v>
      </c>
      <c r="O8" s="804"/>
      <c r="P8" s="805" t="s">
        <v>242</v>
      </c>
      <c r="Q8" s="872">
        <f>L8*1.8+32</f>
        <v>32</v>
      </c>
      <c r="R8" s="872"/>
      <c r="S8" s="806" t="s">
        <v>1253</v>
      </c>
      <c r="T8" s="804"/>
      <c r="U8" s="804"/>
      <c r="V8" s="804"/>
      <c r="W8" s="949"/>
      <c r="X8" s="949"/>
      <c r="Y8" s="804" t="s">
        <v>1253</v>
      </c>
      <c r="Z8" s="804"/>
      <c r="AA8" s="805" t="s">
        <v>242</v>
      </c>
      <c r="AB8" s="872">
        <f>(W8-32)/1.8</f>
        <v>-17.8</v>
      </c>
      <c r="AC8" s="872"/>
      <c r="AD8" s="806" t="s">
        <v>4</v>
      </c>
      <c r="AE8" s="804"/>
      <c r="AF8" s="804"/>
      <c r="AG8" s="62"/>
      <c r="AP8" s="406" t="str">
        <f>IF(ISERROR(VLOOKUP(#REF!,$AP$9:$AQ$99,2,FALSE)),"formel", VLOOKUP(#REF!,$AP$9:$AQ$99,2,FALSE))</f>
        <v>formel</v>
      </c>
      <c r="AQ8" s="833"/>
      <c r="AR8" s="329"/>
      <c r="AS8" s="329"/>
      <c r="AT8" s="544"/>
    </row>
    <row r="9" spans="2:46" ht="15" customHeight="1">
      <c r="B9" s="60"/>
      <c r="C9" s="823"/>
      <c r="D9" s="823"/>
      <c r="E9" s="61"/>
      <c r="F9" s="82" t="s">
        <v>17</v>
      </c>
      <c r="G9" s="1198"/>
      <c r="H9" s="1198"/>
      <c r="I9" s="804" t="s">
        <v>1324</v>
      </c>
      <c r="J9" s="804"/>
      <c r="K9" s="804"/>
      <c r="L9" s="958"/>
      <c r="M9" s="958"/>
      <c r="N9" s="804" t="s">
        <v>13</v>
      </c>
      <c r="O9" s="804"/>
      <c r="P9" s="805" t="s">
        <v>242</v>
      </c>
      <c r="Q9" s="875" t="str">
        <f>IF(ISERROR(L9/G9),"0,00",L9/G9)</f>
        <v>0,00</v>
      </c>
      <c r="R9" s="875"/>
      <c r="S9" s="806" t="s">
        <v>877</v>
      </c>
      <c r="T9" s="804"/>
      <c r="U9" s="804"/>
      <c r="V9" s="804"/>
      <c r="W9" s="958"/>
      <c r="X9" s="958"/>
      <c r="Y9" s="804" t="s">
        <v>877</v>
      </c>
      <c r="Z9" s="804"/>
      <c r="AA9" s="805" t="s">
        <v>242</v>
      </c>
      <c r="AB9" s="875">
        <f>W9*G9</f>
        <v>0</v>
      </c>
      <c r="AC9" s="875"/>
      <c r="AD9" s="806" t="s">
        <v>13</v>
      </c>
      <c r="AE9" s="804"/>
      <c r="AF9" s="804"/>
      <c r="AG9" s="62"/>
      <c r="AP9" s="551">
        <v>11</v>
      </c>
      <c r="AQ9" s="800">
        <v>11.01</v>
      </c>
      <c r="AR9" s="802"/>
      <c r="AS9" s="802"/>
      <c r="AT9" s="408"/>
    </row>
    <row r="10" spans="2:46" ht="15" customHeight="1">
      <c r="B10" s="60"/>
      <c r="C10" s="61"/>
      <c r="D10" s="61"/>
      <c r="E10" s="61"/>
      <c r="F10" s="61"/>
      <c r="G10" s="804"/>
      <c r="H10" s="804"/>
      <c r="I10" s="804"/>
      <c r="J10" s="804"/>
      <c r="K10" s="804"/>
      <c r="L10" s="949"/>
      <c r="M10" s="949"/>
      <c r="N10" s="804" t="s">
        <v>827</v>
      </c>
      <c r="O10" s="804"/>
      <c r="P10" s="805" t="s">
        <v>242</v>
      </c>
      <c r="Q10" s="872">
        <f>L10/3.7853</f>
        <v>0</v>
      </c>
      <c r="R10" s="872"/>
      <c r="S10" s="806" t="s">
        <v>1255</v>
      </c>
      <c r="T10" s="804"/>
      <c r="U10" s="804"/>
      <c r="V10" s="804"/>
      <c r="W10" s="949"/>
      <c r="X10" s="949"/>
      <c r="Y10" s="804" t="s">
        <v>1255</v>
      </c>
      <c r="Z10" s="804"/>
      <c r="AA10" s="805" t="s">
        <v>242</v>
      </c>
      <c r="AB10" s="872">
        <f>W10*3.7853</f>
        <v>0</v>
      </c>
      <c r="AC10" s="872"/>
      <c r="AD10" s="806" t="s">
        <v>827</v>
      </c>
      <c r="AE10" s="804"/>
      <c r="AF10" s="804"/>
      <c r="AG10" s="62"/>
      <c r="AP10" s="551">
        <v>11.1</v>
      </c>
      <c r="AQ10" s="800">
        <v>11.11</v>
      </c>
      <c r="AR10" s="802"/>
      <c r="AS10" s="802"/>
      <c r="AT10" s="408"/>
    </row>
    <row r="11" spans="2:46" ht="15" customHeight="1">
      <c r="B11" s="60"/>
      <c r="C11" s="61"/>
      <c r="D11" s="61"/>
      <c r="E11" s="61"/>
      <c r="F11" s="61"/>
      <c r="G11" s="804"/>
      <c r="H11" s="804"/>
      <c r="I11" s="804"/>
      <c r="J11" s="804"/>
      <c r="K11" s="804"/>
      <c r="L11" s="949"/>
      <c r="M11" s="949"/>
      <c r="N11" s="804" t="s">
        <v>13</v>
      </c>
      <c r="O11" s="804"/>
      <c r="P11" s="805" t="s">
        <v>242</v>
      </c>
      <c r="Q11" s="872">
        <f>L11/28.35</f>
        <v>0</v>
      </c>
      <c r="R11" s="872"/>
      <c r="S11" s="806" t="s">
        <v>1257</v>
      </c>
      <c r="T11" s="804"/>
      <c r="U11" s="804"/>
      <c r="V11" s="804"/>
      <c r="W11" s="949"/>
      <c r="X11" s="949"/>
      <c r="Y11" s="804" t="s">
        <v>1257</v>
      </c>
      <c r="Z11" s="804"/>
      <c r="AA11" s="805" t="s">
        <v>242</v>
      </c>
      <c r="AB11" s="872">
        <f>W11*28.35</f>
        <v>0</v>
      </c>
      <c r="AC11" s="872"/>
      <c r="AD11" s="806" t="s">
        <v>13</v>
      </c>
      <c r="AE11" s="804"/>
      <c r="AF11" s="804"/>
      <c r="AG11" s="62"/>
      <c r="AP11" s="551">
        <v>11.2</v>
      </c>
      <c r="AQ11" s="800">
        <v>11.22</v>
      </c>
      <c r="AR11" s="802"/>
      <c r="AS11" s="802"/>
      <c r="AT11" s="408"/>
    </row>
    <row r="12" spans="2:46" ht="15" customHeight="1">
      <c r="B12" s="60"/>
      <c r="C12" s="61"/>
      <c r="D12" s="61"/>
      <c r="E12" s="61"/>
      <c r="F12" s="61"/>
      <c r="G12" s="804"/>
      <c r="H12" s="804"/>
      <c r="I12" s="804"/>
      <c r="J12" s="804"/>
      <c r="K12" s="804"/>
      <c r="L12" s="949"/>
      <c r="M12" s="949"/>
      <c r="N12" s="804" t="s">
        <v>876</v>
      </c>
      <c r="O12" s="804"/>
      <c r="P12" s="805" t="s">
        <v>242</v>
      </c>
      <c r="Q12" s="872">
        <f>L12*2.205</f>
        <v>0</v>
      </c>
      <c r="R12" s="872"/>
      <c r="S12" s="806" t="s">
        <v>1307</v>
      </c>
      <c r="T12" s="804"/>
      <c r="U12" s="804"/>
      <c r="V12" s="804"/>
      <c r="W12" s="949"/>
      <c r="X12" s="949"/>
      <c r="Y12" s="804" t="s">
        <v>1307</v>
      </c>
      <c r="Z12" s="804"/>
      <c r="AA12" s="805" t="s">
        <v>242</v>
      </c>
      <c r="AB12" s="872">
        <f>W12/2.205</f>
        <v>0</v>
      </c>
      <c r="AC12" s="872"/>
      <c r="AD12" s="806" t="s">
        <v>876</v>
      </c>
      <c r="AE12" s="804"/>
      <c r="AF12" s="804"/>
      <c r="AG12" s="62"/>
      <c r="AP12" s="551">
        <v>11.3</v>
      </c>
      <c r="AQ12" s="800">
        <v>11.32</v>
      </c>
      <c r="AR12" s="802"/>
      <c r="AS12" s="802"/>
      <c r="AT12" s="408"/>
    </row>
    <row r="13" spans="2:46" ht="15" customHeight="1">
      <c r="B13" s="60"/>
      <c r="C13" s="61"/>
      <c r="D13" s="61"/>
      <c r="E13" s="61"/>
      <c r="F13" s="61"/>
      <c r="G13" s="804"/>
      <c r="H13" s="804"/>
      <c r="I13" s="804"/>
      <c r="J13" s="804"/>
      <c r="K13" s="804"/>
      <c r="L13" s="949"/>
      <c r="M13" s="949"/>
      <c r="N13" s="804" t="s">
        <v>1254</v>
      </c>
      <c r="O13" s="804"/>
      <c r="P13" s="805" t="s">
        <v>242</v>
      </c>
      <c r="Q13" s="872">
        <f>L13*0.03937</f>
        <v>0</v>
      </c>
      <c r="R13" s="872"/>
      <c r="S13" s="806" t="s">
        <v>1256</v>
      </c>
      <c r="T13" s="804"/>
      <c r="U13" s="804"/>
      <c r="V13" s="804"/>
      <c r="W13" s="949"/>
      <c r="X13" s="949"/>
      <c r="Y13" s="804" t="s">
        <v>1256</v>
      </c>
      <c r="Z13" s="804"/>
      <c r="AA13" s="805" t="s">
        <v>242</v>
      </c>
      <c r="AB13" s="872">
        <f>W13/0.0397</f>
        <v>0</v>
      </c>
      <c r="AC13" s="872"/>
      <c r="AD13" s="806" t="s">
        <v>1254</v>
      </c>
      <c r="AE13" s="804"/>
      <c r="AF13" s="804"/>
      <c r="AG13" s="62"/>
      <c r="AP13" s="551">
        <v>11.4</v>
      </c>
      <c r="AQ13" s="800">
        <v>11.42</v>
      </c>
      <c r="AR13" s="802"/>
      <c r="AS13" s="802"/>
      <c r="AT13" s="408"/>
    </row>
    <row r="14" spans="2:46" ht="15" customHeight="1">
      <c r="B14" s="60"/>
      <c r="C14" s="61"/>
      <c r="D14" s="61"/>
      <c r="E14" s="61"/>
      <c r="F14" s="61"/>
      <c r="G14" s="804"/>
      <c r="H14" s="804"/>
      <c r="I14" s="804"/>
      <c r="J14" s="804"/>
      <c r="K14" s="804"/>
      <c r="L14" s="949"/>
      <c r="M14" s="949"/>
      <c r="N14" s="804" t="s">
        <v>1254</v>
      </c>
      <c r="O14" s="804"/>
      <c r="P14" s="805" t="s">
        <v>242</v>
      </c>
      <c r="Q14" s="872">
        <f>L14/25.4</f>
        <v>0</v>
      </c>
      <c r="R14" s="872"/>
      <c r="S14" s="806" t="s">
        <v>1308</v>
      </c>
      <c r="T14" s="804"/>
      <c r="U14" s="804"/>
      <c r="V14" s="804"/>
      <c r="W14" s="949"/>
      <c r="X14" s="949"/>
      <c r="Y14" s="804" t="s">
        <v>1308</v>
      </c>
      <c r="Z14" s="804"/>
      <c r="AA14" s="805" t="s">
        <v>242</v>
      </c>
      <c r="AB14" s="872">
        <f>W14*25.4</f>
        <v>0</v>
      </c>
      <c r="AC14" s="872"/>
      <c r="AD14" s="806" t="s">
        <v>1254</v>
      </c>
      <c r="AE14" s="804"/>
      <c r="AF14" s="804"/>
      <c r="AG14" s="62"/>
      <c r="AP14" s="551">
        <v>11.5</v>
      </c>
      <c r="AQ14" s="800">
        <v>11.53</v>
      </c>
      <c r="AR14" s="802"/>
      <c r="AS14" s="802"/>
      <c r="AT14" s="408"/>
    </row>
    <row r="15" spans="2:46" ht="15" customHeight="1">
      <c r="B15" s="60"/>
      <c r="C15" s="61"/>
      <c r="D15" s="61"/>
      <c r="E15" s="61"/>
      <c r="F15" s="61"/>
      <c r="G15" s="804"/>
      <c r="H15" s="804"/>
      <c r="I15" s="804"/>
      <c r="J15" s="804"/>
      <c r="K15" s="804"/>
      <c r="L15" s="804"/>
      <c r="M15" s="804"/>
      <c r="N15" s="804"/>
      <c r="O15" s="804"/>
      <c r="P15" s="805"/>
      <c r="Q15" s="804"/>
      <c r="R15" s="804"/>
      <c r="S15" s="806"/>
      <c r="T15" s="804"/>
      <c r="U15" s="804"/>
      <c r="V15" s="804"/>
      <c r="W15" s="804"/>
      <c r="X15" s="804"/>
      <c r="Y15" s="804"/>
      <c r="Z15" s="804"/>
      <c r="AA15" s="805"/>
      <c r="AB15" s="804"/>
      <c r="AC15" s="804"/>
      <c r="AD15" s="806"/>
      <c r="AE15" s="804"/>
      <c r="AF15" s="804"/>
      <c r="AG15" s="62"/>
      <c r="AP15" s="551">
        <v>11.6</v>
      </c>
      <c r="AQ15" s="800">
        <v>11.63</v>
      </c>
      <c r="AR15" s="803"/>
      <c r="AS15" s="802"/>
      <c r="AT15" s="408"/>
    </row>
    <row r="16" spans="2:46" ht="15" customHeight="1">
      <c r="B16" s="60"/>
      <c r="C16" s="530" t="s">
        <v>21</v>
      </c>
      <c r="D16" s="289" t="s">
        <v>1306</v>
      </c>
      <c r="E16" s="61"/>
      <c r="F16" s="61"/>
      <c r="G16" s="61"/>
      <c r="H16" s="61"/>
      <c r="I16" s="61"/>
      <c r="J16" s="61"/>
      <c r="K16" s="61"/>
      <c r="L16" s="61"/>
      <c r="M16" s="61"/>
      <c r="N16" s="61"/>
      <c r="O16" s="61"/>
      <c r="P16" s="61"/>
      <c r="Q16" s="82" t="s">
        <v>1303</v>
      </c>
      <c r="R16" s="949"/>
      <c r="S16" s="949"/>
      <c r="T16" s="61" t="s">
        <v>1304</v>
      </c>
      <c r="U16" s="61"/>
      <c r="V16" s="61"/>
      <c r="W16" s="61"/>
      <c r="X16" s="82"/>
      <c r="Y16" s="82" t="s">
        <v>1305</v>
      </c>
      <c r="Z16" s="949"/>
      <c r="AA16" s="949"/>
      <c r="AB16" s="61" t="s">
        <v>1304</v>
      </c>
      <c r="AC16" s="61"/>
      <c r="AD16" s="805" t="s">
        <v>242</v>
      </c>
      <c r="AE16" s="872">
        <f>PI()*(Z16/2)^2*R16/1000</f>
        <v>0</v>
      </c>
      <c r="AF16" s="872"/>
      <c r="AG16" s="799" t="s">
        <v>827</v>
      </c>
      <c r="AP16" s="551">
        <v>11.7</v>
      </c>
      <c r="AQ16" s="800">
        <v>11.74</v>
      </c>
      <c r="AR16" s="802"/>
      <c r="AS16" s="802"/>
      <c r="AT16" s="408"/>
    </row>
    <row r="17" spans="2:46" ht="15" customHeight="1">
      <c r="B17" s="60"/>
      <c r="C17" s="61"/>
      <c r="D17" s="61"/>
      <c r="E17" s="61"/>
      <c r="F17" s="61"/>
      <c r="G17" s="804"/>
      <c r="H17" s="804"/>
      <c r="I17" s="804"/>
      <c r="J17" s="804"/>
      <c r="K17" s="804"/>
      <c r="L17" s="804"/>
      <c r="M17" s="804"/>
      <c r="N17" s="804"/>
      <c r="O17" s="804"/>
      <c r="P17" s="805"/>
      <c r="Q17" s="804"/>
      <c r="R17" s="804"/>
      <c r="S17" s="806"/>
      <c r="T17" s="804"/>
      <c r="U17" s="804"/>
      <c r="V17" s="804"/>
      <c r="W17" s="804"/>
      <c r="X17" s="804"/>
      <c r="Y17" s="804"/>
      <c r="Z17" s="804"/>
      <c r="AA17" s="805"/>
      <c r="AB17" s="804"/>
      <c r="AC17" s="804"/>
      <c r="AD17" s="806"/>
      <c r="AE17" s="804"/>
      <c r="AF17" s="804"/>
      <c r="AG17" s="62"/>
      <c r="AP17" s="551">
        <v>11.8</v>
      </c>
      <c r="AQ17" s="800">
        <v>11.85</v>
      </c>
      <c r="AR17" s="802"/>
      <c r="AS17" s="802"/>
      <c r="AT17" s="408"/>
    </row>
    <row r="18" spans="2:46" ht="15" customHeight="1">
      <c r="B18" s="60"/>
      <c r="C18" s="530" t="s">
        <v>21</v>
      </c>
      <c r="D18" s="289" t="s">
        <v>1259</v>
      </c>
      <c r="E18" s="61"/>
      <c r="F18" s="61"/>
      <c r="G18" s="61"/>
      <c r="H18" s="61"/>
      <c r="I18" s="61"/>
      <c r="J18" s="61"/>
      <c r="K18" s="61"/>
      <c r="L18" s="61"/>
      <c r="M18" s="61"/>
      <c r="N18" s="61"/>
      <c r="O18" s="61"/>
      <c r="P18" s="61"/>
      <c r="Q18" s="61"/>
      <c r="R18" s="82" t="s">
        <v>1265</v>
      </c>
      <c r="S18" s="958">
        <v>3.5</v>
      </c>
      <c r="T18" s="958"/>
      <c r="U18" s="61" t="s">
        <v>1266</v>
      </c>
      <c r="V18" s="61"/>
      <c r="W18" s="61"/>
      <c r="X18" s="61"/>
      <c r="Y18" s="61"/>
      <c r="Z18" s="61"/>
      <c r="AA18" s="61"/>
      <c r="AB18" s="61"/>
      <c r="AC18" s="399" t="s">
        <v>1267</v>
      </c>
      <c r="AD18" s="875">
        <f>S18*2.8</f>
        <v>9.8000000000000007</v>
      </c>
      <c r="AE18" s="875"/>
      <c r="AF18" s="289" t="s">
        <v>1262</v>
      </c>
      <c r="AG18" s="62"/>
      <c r="AP18" s="551">
        <v>11.9</v>
      </c>
      <c r="AQ18" s="800">
        <v>11.95</v>
      </c>
      <c r="AR18" s="802"/>
      <c r="AS18" s="802"/>
      <c r="AT18" s="408"/>
    </row>
    <row r="19" spans="2:46" ht="15" customHeight="1">
      <c r="B19" s="60"/>
      <c r="C19" s="61"/>
      <c r="D19" s="61"/>
      <c r="E19" s="82"/>
      <c r="F19" s="82" t="s">
        <v>1271</v>
      </c>
      <c r="G19" s="949"/>
      <c r="H19" s="949"/>
      <c r="I19" s="804" t="s">
        <v>827</v>
      </c>
      <c r="J19" s="61"/>
      <c r="K19" s="61"/>
      <c r="L19" s="61"/>
      <c r="M19" s="61"/>
      <c r="N19" s="61"/>
      <c r="O19" s="61"/>
      <c r="P19" s="61"/>
      <c r="Q19" s="61"/>
      <c r="R19" s="82" t="s">
        <v>1269</v>
      </c>
      <c r="S19" s="949">
        <v>93</v>
      </c>
      <c r="T19" s="949"/>
      <c r="U19" s="61" t="s">
        <v>1260</v>
      </c>
      <c r="V19" s="61"/>
      <c r="W19" s="61"/>
      <c r="X19" s="61"/>
      <c r="Y19" s="61"/>
      <c r="Z19" s="61"/>
      <c r="AA19" s="61"/>
      <c r="AB19" s="61"/>
      <c r="AC19" s="399" t="s">
        <v>1261</v>
      </c>
      <c r="AD19" s="875">
        <f>S19*0.1399</f>
        <v>13.01</v>
      </c>
      <c r="AE19" s="875"/>
      <c r="AF19" s="289" t="s">
        <v>1262</v>
      </c>
      <c r="AG19" s="62"/>
      <c r="AP19" s="551">
        <v>12</v>
      </c>
      <c r="AQ19" s="800">
        <v>12.06</v>
      </c>
      <c r="AR19" s="802"/>
      <c r="AS19" s="802"/>
      <c r="AT19" s="408"/>
    </row>
    <row r="20" spans="2:46" ht="15" customHeight="1">
      <c r="B20" s="60"/>
      <c r="C20" s="61"/>
      <c r="D20" s="61"/>
      <c r="E20" s="61"/>
      <c r="F20" s="61"/>
      <c r="G20" s="61"/>
      <c r="H20" s="61"/>
      <c r="I20" s="61"/>
      <c r="J20" s="61"/>
      <c r="K20" s="61"/>
      <c r="L20" s="61"/>
      <c r="M20" s="61"/>
      <c r="N20" s="61"/>
      <c r="O20" s="61"/>
      <c r="P20" s="61"/>
      <c r="Q20" s="61"/>
      <c r="R20" s="82" t="s">
        <v>1270</v>
      </c>
      <c r="S20" s="949">
        <v>13</v>
      </c>
      <c r="T20" s="949"/>
      <c r="U20" s="61" t="s">
        <v>1260</v>
      </c>
      <c r="V20" s="61"/>
      <c r="W20" s="61"/>
      <c r="X20" s="61"/>
      <c r="Y20" s="61"/>
      <c r="Z20" s="61"/>
      <c r="AA20" s="61"/>
      <c r="AB20" s="61"/>
      <c r="AC20" s="399" t="s">
        <v>1263</v>
      </c>
      <c r="AD20" s="875">
        <f>S20*0.2307</f>
        <v>3</v>
      </c>
      <c r="AE20" s="875"/>
      <c r="AF20" s="289" t="s">
        <v>1262</v>
      </c>
      <c r="AG20" s="62"/>
      <c r="AP20" s="551">
        <v>12.1</v>
      </c>
      <c r="AQ20" s="800">
        <v>12.17</v>
      </c>
      <c r="AR20" s="802"/>
      <c r="AS20" s="802"/>
      <c r="AT20" s="408"/>
    </row>
    <row r="21" spans="2:46" ht="15" customHeight="1">
      <c r="B21" s="60"/>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399" t="s">
        <v>1264</v>
      </c>
      <c r="AD21" s="893">
        <f>AD19+AD20</f>
        <v>16.010000000000002</v>
      </c>
      <c r="AE21" s="893"/>
      <c r="AF21" s="289" t="s">
        <v>1262</v>
      </c>
      <c r="AG21" s="62"/>
      <c r="AP21" s="551">
        <v>12.2</v>
      </c>
      <c r="AQ21" s="800">
        <v>12.27</v>
      </c>
      <c r="AR21" s="802"/>
      <c r="AS21" s="802"/>
      <c r="AT21" s="408"/>
    </row>
    <row r="22" spans="2:46" ht="15" customHeight="1">
      <c r="B22" s="60"/>
      <c r="C22" s="61"/>
      <c r="D22" s="61"/>
      <c r="E22" s="61"/>
      <c r="F22" s="61"/>
      <c r="G22" s="61"/>
      <c r="H22" s="61"/>
      <c r="I22" s="61"/>
      <c r="J22" s="61"/>
      <c r="K22" s="61"/>
      <c r="L22" s="61"/>
      <c r="M22" s="61"/>
      <c r="N22" s="61"/>
      <c r="O22" s="61"/>
      <c r="P22" s="61"/>
      <c r="Q22" s="61"/>
      <c r="R22" s="82" t="s">
        <v>1272</v>
      </c>
      <c r="S22" s="958"/>
      <c r="T22" s="958"/>
      <c r="U22" s="61" t="s">
        <v>1262</v>
      </c>
      <c r="V22" s="61"/>
      <c r="W22" s="61"/>
      <c r="X22" s="61"/>
      <c r="Y22" s="61"/>
      <c r="Z22" s="61"/>
      <c r="AA22" s="61"/>
      <c r="AB22" s="61"/>
      <c r="AC22" s="399" t="s">
        <v>1268</v>
      </c>
      <c r="AD22" s="875">
        <f>AD18-AD19/3.5-AD20/7</f>
        <v>5.65</v>
      </c>
      <c r="AE22" s="875"/>
      <c r="AF22" s="289" t="s">
        <v>1262</v>
      </c>
      <c r="AG22" s="62"/>
      <c r="AP22" s="551">
        <v>12.3</v>
      </c>
      <c r="AQ22" s="800">
        <v>12.38</v>
      </c>
      <c r="AR22" s="802"/>
      <c r="AS22" s="802"/>
      <c r="AT22" s="408"/>
    </row>
    <row r="23" spans="2:46" ht="15" customHeight="1">
      <c r="B23" s="60"/>
      <c r="C23" s="61"/>
      <c r="D23" s="61"/>
      <c r="E23" s="82"/>
      <c r="F23" s="61"/>
      <c r="G23" s="82"/>
      <c r="H23" s="61"/>
      <c r="I23" s="61"/>
      <c r="J23" s="61"/>
      <c r="K23" s="61"/>
      <c r="L23" s="61"/>
      <c r="M23" s="61"/>
      <c r="N23" s="61"/>
      <c r="O23" s="61"/>
      <c r="P23" s="61"/>
      <c r="Q23" s="61"/>
      <c r="R23" s="810" t="s">
        <v>1293</v>
      </c>
      <c r="S23" s="872">
        <f>(AD22-S22)*G19*0.0335</f>
        <v>0</v>
      </c>
      <c r="T23" s="872"/>
      <c r="U23" s="289" t="s">
        <v>1323</v>
      </c>
      <c r="V23" s="61"/>
      <c r="W23" s="61"/>
      <c r="X23" s="872">
        <f>S23*1.22</f>
        <v>0</v>
      </c>
      <c r="Y23" s="872"/>
      <c r="Z23" s="289" t="s">
        <v>1325</v>
      </c>
      <c r="AA23" s="61"/>
      <c r="AB23" s="61"/>
      <c r="AC23" s="61"/>
      <c r="AD23" s="61"/>
      <c r="AE23" s="61"/>
      <c r="AF23" s="61"/>
      <c r="AG23" s="62"/>
      <c r="AP23" s="551">
        <v>12.4</v>
      </c>
      <c r="AQ23" s="800">
        <v>12.48</v>
      </c>
      <c r="AR23" s="802"/>
      <c r="AS23" s="802"/>
      <c r="AT23" s="408"/>
    </row>
    <row r="24" spans="2:46" ht="15" customHeight="1">
      <c r="B24" s="60"/>
      <c r="C24" s="61"/>
      <c r="D24" s="61"/>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2"/>
      <c r="AP24" s="551">
        <v>12.5</v>
      </c>
      <c r="AQ24" s="800">
        <v>12.59</v>
      </c>
      <c r="AR24" s="802"/>
      <c r="AS24" s="802"/>
      <c r="AT24" s="408"/>
    </row>
    <row r="25" spans="2:46" ht="15" customHeight="1">
      <c r="B25" s="60"/>
      <c r="C25" s="527" t="s">
        <v>21</v>
      </c>
      <c r="D25" s="289" t="s">
        <v>1301</v>
      </c>
      <c r="E25" s="61"/>
      <c r="F25" s="61"/>
      <c r="G25" s="804"/>
      <c r="H25" s="804"/>
      <c r="I25" s="804"/>
      <c r="J25" s="804"/>
      <c r="K25" s="804"/>
      <c r="L25" s="804"/>
      <c r="M25" s="804"/>
      <c r="N25" s="804"/>
      <c r="O25" s="804"/>
      <c r="P25" s="804"/>
      <c r="Q25" s="804"/>
      <c r="R25" s="804"/>
      <c r="S25" s="804"/>
      <c r="T25" s="804"/>
      <c r="U25" s="804"/>
      <c r="V25" s="804"/>
      <c r="W25" s="804"/>
      <c r="X25" s="804"/>
      <c r="Y25" s="804"/>
      <c r="Z25" s="804"/>
      <c r="AA25" s="804"/>
      <c r="AB25" s="804"/>
      <c r="AC25" s="804"/>
      <c r="AD25" s="804"/>
      <c r="AE25" s="804"/>
      <c r="AF25" s="804"/>
      <c r="AG25" s="62"/>
      <c r="AP25" s="551">
        <v>12.6</v>
      </c>
      <c r="AQ25" s="800">
        <v>12.69</v>
      </c>
      <c r="AR25" s="802"/>
      <c r="AS25" s="802"/>
      <c r="AT25" s="408"/>
    </row>
    <row r="26" spans="2:46" ht="15" customHeight="1">
      <c r="B26" s="60"/>
      <c r="C26" s="61"/>
      <c r="D26" s="61"/>
      <c r="E26" s="61"/>
      <c r="F26" s="82" t="s">
        <v>101</v>
      </c>
      <c r="G26" s="949"/>
      <c r="H26" s="949"/>
      <c r="I26" s="804" t="s">
        <v>39</v>
      </c>
      <c r="J26" s="804"/>
      <c r="K26" s="804"/>
      <c r="L26" s="804"/>
      <c r="M26" s="804"/>
      <c r="N26" s="807"/>
      <c r="O26" s="804"/>
      <c r="P26" s="807" t="s">
        <v>16</v>
      </c>
      <c r="Q26" s="949"/>
      <c r="R26" s="949"/>
      <c r="S26" s="804" t="s">
        <v>827</v>
      </c>
      <c r="T26" s="804"/>
      <c r="U26" s="804"/>
      <c r="V26" s="804"/>
      <c r="W26" s="804"/>
      <c r="X26" s="804"/>
      <c r="Y26" s="807" t="s">
        <v>18</v>
      </c>
      <c r="Z26" s="949"/>
      <c r="AA26" s="949"/>
      <c r="AB26" s="804" t="s">
        <v>5</v>
      </c>
      <c r="AC26" s="804"/>
      <c r="AD26" s="805" t="s">
        <v>242</v>
      </c>
      <c r="AE26" s="875" t="str">
        <f>IF(ISERROR(IF(Q26&lt;&gt;0,(Q26*G26*AS26)/Z26,"")),"", IF(Q26&lt;&gt;0,(Q26*G26*AS26)/Z26,""))</f>
        <v/>
      </c>
      <c r="AF26" s="875"/>
      <c r="AG26" s="799" t="s">
        <v>876</v>
      </c>
      <c r="AP26" s="551">
        <v>12.7</v>
      </c>
      <c r="AQ26" s="800">
        <v>12.8</v>
      </c>
      <c r="AR26" s="802" t="s">
        <v>1251</v>
      </c>
      <c r="AS26" s="834">
        <f>IF(ISERROR(((4.13*G26)+997)/1000),"", ((4.13*G26)+997)/1000)</f>
        <v>0.997</v>
      </c>
      <c r="AT26" s="408"/>
    </row>
    <row r="27" spans="2:46" ht="15" customHeight="1">
      <c r="B27" s="60"/>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2"/>
      <c r="AP27" s="551">
        <v>12.8</v>
      </c>
      <c r="AQ27" s="800">
        <v>12.9</v>
      </c>
      <c r="AR27" s="802"/>
      <c r="AS27" s="802"/>
      <c r="AT27" s="408"/>
    </row>
    <row r="28" spans="2:46" ht="15" customHeight="1">
      <c r="B28" s="60"/>
      <c r="C28" s="530" t="s">
        <v>21</v>
      </c>
      <c r="D28" s="289" t="s">
        <v>1302</v>
      </c>
      <c r="E28" s="61"/>
      <c r="F28" s="61"/>
      <c r="G28" s="804"/>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2"/>
      <c r="AP28" s="551">
        <v>12.9</v>
      </c>
      <c r="AQ28" s="800">
        <v>13.01</v>
      </c>
      <c r="AR28" s="802"/>
      <c r="AS28" s="802"/>
      <c r="AT28" s="408"/>
    </row>
    <row r="29" spans="2:46" ht="15" customHeight="1">
      <c r="B29" s="60"/>
      <c r="C29" s="61"/>
      <c r="D29" s="61"/>
      <c r="E29" s="61"/>
      <c r="F29" s="807" t="s">
        <v>938</v>
      </c>
      <c r="G29" s="892"/>
      <c r="H29" s="892"/>
      <c r="I29" s="804" t="s">
        <v>39</v>
      </c>
      <c r="J29" s="804"/>
      <c r="K29" s="804"/>
      <c r="L29" s="804"/>
      <c r="M29" s="804"/>
      <c r="N29" s="807" t="s">
        <v>19</v>
      </c>
      <c r="O29" s="949"/>
      <c r="P29" s="949"/>
      <c r="Q29" s="804" t="s">
        <v>876</v>
      </c>
      <c r="R29" s="61"/>
      <c r="S29" s="61"/>
      <c r="T29" s="61"/>
      <c r="U29" s="61"/>
      <c r="V29" s="61"/>
      <c r="W29" s="807" t="s">
        <v>18</v>
      </c>
      <c r="X29" s="949"/>
      <c r="Y29" s="949"/>
      <c r="Z29" s="804" t="s">
        <v>5</v>
      </c>
      <c r="AA29" s="61"/>
      <c r="AB29" s="61"/>
      <c r="AC29" s="61"/>
      <c r="AD29" s="805" t="s">
        <v>242</v>
      </c>
      <c r="AE29" s="875" t="str">
        <f>IF(ISERROR((X29*(100-G29)*O29)/(G29*100)),"",(X29*(100-G29)*O29)/(G29*100))</f>
        <v/>
      </c>
      <c r="AF29" s="875"/>
      <c r="AG29" s="799" t="s">
        <v>827</v>
      </c>
      <c r="AP29" s="551">
        <v>13</v>
      </c>
      <c r="AQ29" s="800">
        <v>13.11</v>
      </c>
      <c r="AR29" s="802"/>
      <c r="AS29" s="802"/>
      <c r="AT29" s="408"/>
    </row>
    <row r="30" spans="2:46" ht="15" customHeight="1">
      <c r="B30" s="60"/>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2"/>
      <c r="AP30" s="551">
        <v>13.1</v>
      </c>
      <c r="AQ30" s="800">
        <v>13.22</v>
      </c>
      <c r="AR30" s="802"/>
      <c r="AS30" s="802"/>
      <c r="AT30" s="408"/>
    </row>
    <row r="31" spans="2:46" ht="15" customHeight="1">
      <c r="B31" s="60"/>
      <c r="C31" s="530" t="s">
        <v>21</v>
      </c>
      <c r="D31" s="808" t="s">
        <v>52</v>
      </c>
      <c r="E31" s="61"/>
      <c r="F31" s="61"/>
      <c r="G31" s="61"/>
      <c r="H31" s="61"/>
      <c r="I31" s="61"/>
      <c r="J31" s="61"/>
      <c r="K31" s="61"/>
      <c r="L31" s="61"/>
      <c r="M31" s="61"/>
      <c r="N31" s="61"/>
      <c r="O31" s="61"/>
      <c r="P31" s="807" t="s">
        <v>19</v>
      </c>
      <c r="Q31" s="949"/>
      <c r="R31" s="949"/>
      <c r="S31" s="804" t="s">
        <v>876</v>
      </c>
      <c r="T31" s="61"/>
      <c r="U31" s="61"/>
      <c r="V31" s="61"/>
      <c r="W31" s="807" t="s">
        <v>20</v>
      </c>
      <c r="X31" s="949"/>
      <c r="Y31" s="949"/>
      <c r="Z31" s="804" t="s">
        <v>827</v>
      </c>
      <c r="AA31" s="61"/>
      <c r="AB31" s="61"/>
      <c r="AC31" s="61"/>
      <c r="AD31" s="805" t="s">
        <v>242</v>
      </c>
      <c r="AE31" s="875">
        <f>IF(ISERROR(X31+(Q31*0.7)),"",X31+(Q31*0.7))</f>
        <v>0</v>
      </c>
      <c r="AF31" s="875"/>
      <c r="AG31" s="799" t="s">
        <v>827</v>
      </c>
      <c r="AP31" s="551">
        <v>13.2</v>
      </c>
      <c r="AQ31" s="800">
        <v>13.32</v>
      </c>
      <c r="AR31" s="802"/>
      <c r="AS31" s="802"/>
      <c r="AT31" s="408"/>
    </row>
    <row r="32" spans="2:46" ht="15" customHeight="1">
      <c r="B32" s="60"/>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2"/>
      <c r="AP32" s="551">
        <v>13.3</v>
      </c>
      <c r="AQ32" s="800">
        <v>13.43</v>
      </c>
      <c r="AR32" s="802"/>
      <c r="AS32" s="802"/>
      <c r="AT32" s="408"/>
    </row>
    <row r="33" spans="2:46" ht="15" customHeight="1">
      <c r="B33" s="60"/>
      <c r="C33" s="529" t="s">
        <v>21</v>
      </c>
      <c r="D33" s="289" t="s">
        <v>1329</v>
      </c>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2"/>
      <c r="AP33" s="551">
        <v>13.4</v>
      </c>
      <c r="AQ33" s="800">
        <v>13.54</v>
      </c>
      <c r="AR33" s="802"/>
      <c r="AS33" s="802"/>
      <c r="AT33" s="408"/>
    </row>
    <row r="34" spans="2:46" ht="15" customHeight="1">
      <c r="B34" s="60"/>
      <c r="C34" s="61"/>
      <c r="D34" s="61"/>
      <c r="E34" s="61"/>
      <c r="F34" s="82" t="s">
        <v>101</v>
      </c>
      <c r="G34" s="82"/>
      <c r="H34" s="82"/>
      <c r="I34" s="804"/>
      <c r="J34" s="61"/>
      <c r="K34" s="960" t="s">
        <v>61</v>
      </c>
      <c r="L34" s="960"/>
      <c r="M34" s="960"/>
      <c r="N34" s="960"/>
      <c r="O34" s="960"/>
      <c r="P34" s="960"/>
      <c r="Q34" s="960"/>
      <c r="R34" s="960"/>
      <c r="S34" s="960"/>
      <c r="T34" s="873" t="str">
        <f>IF(ISERROR(VLOOKUP(K34,daten!$D$3:$E$59,2,FALSE)),"0",VLOOKUP(K34,daten!$D$3:$E$59,2,FALSE))</f>
        <v>0</v>
      </c>
      <c r="U34" s="873"/>
      <c r="V34" s="949">
        <v>0</v>
      </c>
      <c r="W34" s="949"/>
      <c r="X34" s="61" t="s">
        <v>5</v>
      </c>
      <c r="Y34" s="805" t="s">
        <v>242</v>
      </c>
      <c r="Z34" s="872" t="str">
        <f t="shared" ref="Z34:Z39" si="0">IF(ISERROR($Z$40*V34/100),"",$Z$40* V34/100)</f>
        <v/>
      </c>
      <c r="AA34" s="872"/>
      <c r="AB34" s="289" t="s">
        <v>876</v>
      </c>
      <c r="AC34" s="61"/>
      <c r="AD34" s="61"/>
      <c r="AE34" s="61"/>
      <c r="AF34" s="61"/>
      <c r="AG34" s="62"/>
      <c r="AP34" s="551">
        <v>13.5</v>
      </c>
      <c r="AQ34" s="800">
        <v>13.64</v>
      </c>
      <c r="AR34" s="802"/>
      <c r="AS34" s="802"/>
      <c r="AT34" s="408"/>
    </row>
    <row r="35" spans="2:46" ht="15" customHeight="1">
      <c r="B35" s="60"/>
      <c r="C35" s="949"/>
      <c r="D35" s="949"/>
      <c r="E35" s="804" t="s">
        <v>39</v>
      </c>
      <c r="F35" s="82"/>
      <c r="G35" s="82"/>
      <c r="H35" s="82"/>
      <c r="I35" s="804"/>
      <c r="K35" s="960" t="s">
        <v>61</v>
      </c>
      <c r="L35" s="960"/>
      <c r="M35" s="960"/>
      <c r="N35" s="960"/>
      <c r="O35" s="960"/>
      <c r="P35" s="960"/>
      <c r="Q35" s="960"/>
      <c r="R35" s="960"/>
      <c r="S35" s="960"/>
      <c r="T35" s="873" t="str">
        <f>IF(ISERROR(VLOOKUP(K35,daten!$D$3:$E$59,2,FALSE)),"0",VLOOKUP(K35,daten!$D$3:$E$59,2,FALSE))</f>
        <v>0</v>
      </c>
      <c r="U35" s="873"/>
      <c r="V35" s="949">
        <v>0</v>
      </c>
      <c r="W35" s="949"/>
      <c r="X35" s="61" t="s">
        <v>5</v>
      </c>
      <c r="Y35" s="805" t="s">
        <v>242</v>
      </c>
      <c r="Z35" s="872" t="str">
        <f t="shared" si="0"/>
        <v/>
      </c>
      <c r="AA35" s="872"/>
      <c r="AB35" s="289" t="s">
        <v>876</v>
      </c>
      <c r="AC35" s="61"/>
      <c r="AD35" s="61"/>
      <c r="AE35" s="61"/>
      <c r="AF35" s="61"/>
      <c r="AG35" s="62"/>
      <c r="AP35" s="551">
        <v>13.6</v>
      </c>
      <c r="AQ35" s="800">
        <v>13.75</v>
      </c>
      <c r="AR35" s="802"/>
      <c r="AS35" s="802"/>
      <c r="AT35" s="408"/>
    </row>
    <row r="36" spans="2:46" ht="15" customHeight="1">
      <c r="B36" s="60"/>
      <c r="C36" s="61" t="s">
        <v>16</v>
      </c>
      <c r="D36" s="61"/>
      <c r="E36" s="61"/>
      <c r="F36" s="807"/>
      <c r="G36" s="61"/>
      <c r="H36" s="61"/>
      <c r="I36" s="61"/>
      <c r="K36" s="960" t="s">
        <v>61</v>
      </c>
      <c r="L36" s="960"/>
      <c r="M36" s="960"/>
      <c r="N36" s="960"/>
      <c r="O36" s="960"/>
      <c r="P36" s="960"/>
      <c r="Q36" s="960"/>
      <c r="R36" s="960"/>
      <c r="S36" s="960"/>
      <c r="T36" s="873" t="str">
        <f>IF(ISERROR(VLOOKUP(K36,daten!$D$3:$E$59,2,FALSE)),"0",VLOOKUP(K36,daten!$D$3:$E$59,2,FALSE))</f>
        <v>0</v>
      </c>
      <c r="U36" s="873"/>
      <c r="V36" s="949">
        <v>0</v>
      </c>
      <c r="W36" s="949"/>
      <c r="X36" s="61" t="s">
        <v>5</v>
      </c>
      <c r="Y36" s="805" t="s">
        <v>242</v>
      </c>
      <c r="Z36" s="872" t="str">
        <f t="shared" si="0"/>
        <v/>
      </c>
      <c r="AA36" s="872"/>
      <c r="AB36" s="289" t="s">
        <v>876</v>
      </c>
      <c r="AC36" s="61"/>
      <c r="AD36" s="61"/>
      <c r="AE36" s="61"/>
      <c r="AF36" s="61"/>
      <c r="AG36" s="62"/>
      <c r="AP36" s="551">
        <v>13.7</v>
      </c>
      <c r="AQ36" s="800">
        <v>13.85</v>
      </c>
      <c r="AR36" s="802"/>
      <c r="AS36" s="802"/>
      <c r="AT36" s="408"/>
    </row>
    <row r="37" spans="2:46" ht="15" customHeight="1">
      <c r="B37" s="60"/>
      <c r="C37" s="949"/>
      <c r="D37" s="949"/>
      <c r="E37" s="804" t="s">
        <v>827</v>
      </c>
      <c r="F37" s="82"/>
      <c r="G37" s="61"/>
      <c r="H37" s="61"/>
      <c r="I37" s="61"/>
      <c r="K37" s="960" t="s">
        <v>61</v>
      </c>
      <c r="L37" s="960"/>
      <c r="M37" s="960"/>
      <c r="N37" s="960"/>
      <c r="O37" s="960"/>
      <c r="P37" s="960"/>
      <c r="Q37" s="960"/>
      <c r="R37" s="960"/>
      <c r="S37" s="960"/>
      <c r="T37" s="873" t="str">
        <f>IF(ISERROR(VLOOKUP(K37,daten!$D$3:$E$59,2,FALSE)),"0",VLOOKUP(K37,daten!$D$3:$E$59,2,FALSE))</f>
        <v>0</v>
      </c>
      <c r="U37" s="873"/>
      <c r="V37" s="949">
        <v>0</v>
      </c>
      <c r="W37" s="949"/>
      <c r="X37" s="61" t="s">
        <v>5</v>
      </c>
      <c r="Y37" s="805" t="s">
        <v>242</v>
      </c>
      <c r="Z37" s="872" t="str">
        <f t="shared" si="0"/>
        <v/>
      </c>
      <c r="AA37" s="872"/>
      <c r="AB37" s="289" t="s">
        <v>876</v>
      </c>
      <c r="AC37" s="61"/>
      <c r="AD37" s="61"/>
      <c r="AE37" s="61"/>
      <c r="AF37" s="61"/>
      <c r="AG37" s="62"/>
      <c r="AP37" s="551">
        <v>13.8</v>
      </c>
      <c r="AQ37" s="800">
        <v>13.97</v>
      </c>
      <c r="AR37" s="802"/>
      <c r="AS37" s="802"/>
      <c r="AT37" s="835"/>
    </row>
    <row r="38" spans="2:46" ht="15" customHeight="1">
      <c r="B38" s="60"/>
      <c r="C38" s="804" t="s">
        <v>18</v>
      </c>
      <c r="D38" s="61"/>
      <c r="E38" s="61"/>
      <c r="F38" s="61"/>
      <c r="G38" s="61"/>
      <c r="H38" s="61"/>
      <c r="I38" s="61"/>
      <c r="K38" s="960" t="s">
        <v>61</v>
      </c>
      <c r="L38" s="960"/>
      <c r="M38" s="960"/>
      <c r="N38" s="960"/>
      <c r="O38" s="960"/>
      <c r="P38" s="960"/>
      <c r="Q38" s="960"/>
      <c r="R38" s="960"/>
      <c r="S38" s="960"/>
      <c r="T38" s="873" t="str">
        <f>IF(ISERROR(VLOOKUP(K38,daten!$D$3:$E$59,2,FALSE)),"0",VLOOKUP(K38,daten!$D$3:$E$59,2,FALSE))</f>
        <v>0</v>
      </c>
      <c r="U38" s="873"/>
      <c r="V38" s="949">
        <v>0</v>
      </c>
      <c r="W38" s="949"/>
      <c r="X38" s="61" t="s">
        <v>5</v>
      </c>
      <c r="Y38" s="805" t="s">
        <v>242</v>
      </c>
      <c r="Z38" s="872" t="str">
        <f t="shared" si="0"/>
        <v/>
      </c>
      <c r="AA38" s="872"/>
      <c r="AB38" s="289" t="s">
        <v>876</v>
      </c>
      <c r="AC38" s="61"/>
      <c r="AD38" s="61"/>
      <c r="AE38" s="61"/>
      <c r="AF38" s="61"/>
      <c r="AG38" s="62"/>
      <c r="AP38" s="551">
        <v>13.9</v>
      </c>
      <c r="AQ38" s="800">
        <v>14.07</v>
      </c>
      <c r="AR38" s="802"/>
      <c r="AS38" s="802"/>
      <c r="AT38" s="835"/>
    </row>
    <row r="39" spans="2:46" ht="15" customHeight="1">
      <c r="B39" s="60"/>
      <c r="C39" s="949"/>
      <c r="D39" s="949"/>
      <c r="E39" s="804" t="s">
        <v>5</v>
      </c>
      <c r="F39" s="61"/>
      <c r="G39" s="61"/>
      <c r="H39" s="61"/>
      <c r="I39" s="61"/>
      <c r="K39" s="960" t="s">
        <v>61</v>
      </c>
      <c r="L39" s="960"/>
      <c r="M39" s="960"/>
      <c r="N39" s="960"/>
      <c r="O39" s="960"/>
      <c r="P39" s="960"/>
      <c r="Q39" s="960"/>
      <c r="R39" s="960"/>
      <c r="S39" s="960"/>
      <c r="T39" s="873" t="str">
        <f>IF(ISERROR(VLOOKUP(K39,daten!$D$3:$E$59,2,FALSE)),"0",VLOOKUP(K39,daten!$D$3:$E$59,2,FALSE))</f>
        <v>0</v>
      </c>
      <c r="U39" s="873"/>
      <c r="V39" s="949">
        <v>0</v>
      </c>
      <c r="W39" s="949"/>
      <c r="X39" s="61" t="s">
        <v>5</v>
      </c>
      <c r="Y39" s="805" t="s">
        <v>242</v>
      </c>
      <c r="Z39" s="872" t="str">
        <f t="shared" si="0"/>
        <v/>
      </c>
      <c r="AA39" s="872"/>
      <c r="AB39" s="289" t="s">
        <v>876</v>
      </c>
      <c r="AC39" s="61"/>
      <c r="AG39" s="62"/>
      <c r="AP39" s="551">
        <v>14</v>
      </c>
      <c r="AQ39" s="800">
        <v>14.18</v>
      </c>
      <c r="AR39" s="802"/>
      <c r="AS39" s="802"/>
      <c r="AT39" s="835"/>
    </row>
    <row r="40" spans="2:46" ht="15" customHeight="1">
      <c r="B40" s="60"/>
      <c r="C40" s="150"/>
      <c r="D40" s="151"/>
      <c r="E40" s="81"/>
      <c r="F40" s="61"/>
      <c r="G40" s="61"/>
      <c r="H40" s="61"/>
      <c r="I40" s="61"/>
      <c r="U40" s="399" t="s">
        <v>1330</v>
      </c>
      <c r="V40" s="1199">
        <f>SUM(V34:W39)</f>
        <v>0</v>
      </c>
      <c r="W40" s="1199"/>
      <c r="X40" s="289" t="s">
        <v>5</v>
      </c>
      <c r="Y40" s="805" t="s">
        <v>242</v>
      </c>
      <c r="Z40" s="872" t="str">
        <f>IF(ISERROR(IF(C37&lt;&gt;0,(C37*C35*(((4.13*C35)+997)/1000))/C39,"")),"", IF(C37&lt;&gt;0,(C37*C35*(((4.13*C35)+997)/1000))/C39,""))</f>
        <v/>
      </c>
      <c r="AA40" s="872"/>
      <c r="AB40" s="806" t="s">
        <v>876</v>
      </c>
      <c r="AC40" s="81"/>
      <c r="AD40" s="876" t="str">
        <f>IF(ISERROR(((T34*Z34)+(T35*Z35)+(T36*Z36)+(T37*Z37)+(T38*Z38)+(T39*Z39))/(Z40)*C35/10+2),"",((T34*Z34)+(T35*Z35)+(T36*Z36)+(T37*Z37)+(T38*Z38)+(T39*Z39))/(Z40)*C35/10+2)</f>
        <v/>
      </c>
      <c r="AE40" s="876"/>
      <c r="AF40" s="289" t="s">
        <v>50</v>
      </c>
      <c r="AG40" s="62"/>
      <c r="AP40" s="551">
        <v>14.1</v>
      </c>
      <c r="AQ40" s="800">
        <v>14.28</v>
      </c>
      <c r="AR40" s="802"/>
      <c r="AS40" s="802"/>
      <c r="AT40" s="835"/>
    </row>
    <row r="41" spans="2:46" ht="15" customHeight="1">
      <c r="B41" s="60"/>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2"/>
      <c r="AP41" s="551">
        <v>14.2</v>
      </c>
      <c r="AQ41" s="800">
        <v>14.39</v>
      </c>
      <c r="AR41" s="802"/>
      <c r="AS41" s="802"/>
      <c r="AT41" s="408"/>
    </row>
    <row r="42" spans="2:46" ht="15" customHeight="1">
      <c r="B42" s="60"/>
      <c r="C42" s="527" t="s">
        <v>21</v>
      </c>
      <c r="D42" s="811" t="s">
        <v>1300</v>
      </c>
      <c r="E42" s="61"/>
      <c r="F42" s="61"/>
      <c r="G42" s="61"/>
      <c r="H42" s="61"/>
      <c r="I42" s="61"/>
      <c r="J42" s="61"/>
      <c r="K42" s="61"/>
      <c r="L42" s="61"/>
      <c r="M42" s="61"/>
      <c r="N42" s="61"/>
      <c r="O42" s="61"/>
      <c r="P42" s="61"/>
      <c r="Q42" s="61"/>
      <c r="R42" s="61"/>
      <c r="S42" s="61"/>
      <c r="T42" s="82" t="s">
        <v>101</v>
      </c>
      <c r="U42" s="949"/>
      <c r="V42" s="949"/>
      <c r="W42" s="804" t="s">
        <v>39</v>
      </c>
      <c r="X42" s="61"/>
      <c r="Y42" s="61"/>
      <c r="Z42" s="61"/>
      <c r="AA42" s="61"/>
      <c r="AB42" s="61"/>
      <c r="AC42" s="61"/>
      <c r="AD42" s="807" t="s">
        <v>16</v>
      </c>
      <c r="AE42" s="949"/>
      <c r="AF42" s="949"/>
      <c r="AG42" s="62" t="s">
        <v>827</v>
      </c>
      <c r="AP42" s="551">
        <v>14.3</v>
      </c>
      <c r="AQ42" s="800">
        <v>14.5</v>
      </c>
      <c r="AR42" s="802" t="s">
        <v>1251</v>
      </c>
      <c r="AS42" s="834">
        <f>IF(ISERROR(((4.13*U42)+997)/1000),"", ((4.13*U42)+997)/1000)</f>
        <v>0.997</v>
      </c>
      <c r="AT42" s="408"/>
    </row>
    <row r="43" spans="2:46" ht="15" customHeight="1">
      <c r="B43" s="60"/>
      <c r="C43" s="61" t="s">
        <v>44</v>
      </c>
      <c r="D43" s="61"/>
      <c r="E43" s="61"/>
      <c r="F43" s="61"/>
      <c r="G43" s="61"/>
      <c r="H43" s="61"/>
      <c r="I43" s="61"/>
      <c r="J43" s="81" t="s">
        <v>41</v>
      </c>
      <c r="K43" s="61"/>
      <c r="L43" s="61"/>
      <c r="M43" s="61" t="s">
        <v>1294</v>
      </c>
      <c r="N43" s="61"/>
      <c r="O43" s="61"/>
      <c r="P43" s="61"/>
      <c r="Q43" s="61" t="s">
        <v>1295</v>
      </c>
      <c r="R43" s="61"/>
      <c r="S43" s="61"/>
      <c r="T43" s="61"/>
      <c r="U43" s="61"/>
      <c r="V43" s="61"/>
      <c r="W43" s="61"/>
      <c r="X43" s="61" t="s">
        <v>1296</v>
      </c>
      <c r="Y43" s="61"/>
      <c r="Z43" s="61"/>
      <c r="AA43" s="61" t="s">
        <v>42</v>
      </c>
      <c r="AB43" s="61"/>
      <c r="AC43" s="61"/>
      <c r="AD43" s="61"/>
      <c r="AE43" s="61"/>
      <c r="AF43" s="61"/>
      <c r="AG43" s="62"/>
      <c r="AP43" s="551">
        <v>14.4</v>
      </c>
      <c r="AQ43" s="800">
        <v>14.61</v>
      </c>
      <c r="AR43" s="802" t="s">
        <v>1297</v>
      </c>
      <c r="AS43" s="802">
        <f>1.65*0.000125^(AS42-1)</f>
        <v>1.69509176561775</v>
      </c>
      <c r="AT43" s="408"/>
    </row>
    <row r="44" spans="2:46" ht="15" customHeight="1">
      <c r="B44" s="60"/>
      <c r="C44" s="958"/>
      <c r="D44" s="958"/>
      <c r="E44" s="804" t="s">
        <v>1292</v>
      </c>
      <c r="F44" s="61"/>
      <c r="G44" s="870">
        <f>IF(ISBLANK(C44*$AE$42),"",C44*$AE$42)</f>
        <v>0</v>
      </c>
      <c r="H44" s="870"/>
      <c r="I44" s="804" t="s">
        <v>13</v>
      </c>
      <c r="J44" s="871"/>
      <c r="K44" s="871"/>
      <c r="L44" s="61"/>
      <c r="M44" s="1200" t="s">
        <v>1237</v>
      </c>
      <c r="N44" s="1200"/>
      <c r="O44" s="1200"/>
      <c r="P44" s="61"/>
      <c r="Q44" s="1200" t="s">
        <v>214</v>
      </c>
      <c r="R44" s="1200"/>
      <c r="S44" s="1200"/>
      <c r="T44" s="1200"/>
      <c r="U44" s="1200"/>
      <c r="V44" s="1200"/>
      <c r="W44" s="61"/>
      <c r="X44" s="840"/>
      <c r="Y44" s="61"/>
      <c r="Z44" s="955"/>
      <c r="AA44" s="955"/>
      <c r="AB44" s="61" t="s">
        <v>814</v>
      </c>
      <c r="AC44" s="61"/>
      <c r="AD44" s="876" t="str">
        <f>IF(ISERROR(IF(X44="X",AT44-(AT44*10%),AT44)),"",IF(X44="X",AT44-(AT44*10%),AT44))</f>
        <v/>
      </c>
      <c r="AE44" s="876"/>
      <c r="AF44" s="289" t="s">
        <v>29</v>
      </c>
      <c r="AG44" s="813"/>
      <c r="AP44" s="551">
        <v>14.5</v>
      </c>
      <c r="AQ44" s="800">
        <v>14.72</v>
      </c>
      <c r="AR44" s="802" t="str">
        <f>IF(M44="Pellets","x","formel")</f>
        <v>formel</v>
      </c>
      <c r="AS44" s="802" t="str">
        <f>IF(Q44="nach Würzebruch","x","formel")</f>
        <v>formel</v>
      </c>
      <c r="AT44" s="835" t="e">
        <f>(1000*G44*J44%/$AE$42)*($AS$43*(1-EXP(-0.04*(Z44+$Z$49)))/4.15%*(1+COUNTA(AR44:AS44)/10))%/1</f>
        <v>#DIV/0!</v>
      </c>
    </row>
    <row r="45" spans="2:46" ht="15" customHeight="1">
      <c r="B45" s="60"/>
      <c r="C45" s="958"/>
      <c r="D45" s="958"/>
      <c r="E45" s="804" t="s">
        <v>1292</v>
      </c>
      <c r="F45" s="61"/>
      <c r="G45" s="870">
        <f>IF(ISBLANK(C45*$AE$42),"",C45*$AE$42)</f>
        <v>0</v>
      </c>
      <c r="H45" s="870"/>
      <c r="I45" s="804" t="s">
        <v>13</v>
      </c>
      <c r="J45" s="871"/>
      <c r="K45" s="871"/>
      <c r="L45" s="61"/>
      <c r="M45" s="1200" t="s">
        <v>1237</v>
      </c>
      <c r="N45" s="1200"/>
      <c r="O45" s="1200"/>
      <c r="P45" s="61"/>
      <c r="Q45" s="1200" t="s">
        <v>214</v>
      </c>
      <c r="R45" s="1200"/>
      <c r="S45" s="1200"/>
      <c r="T45" s="1200"/>
      <c r="U45" s="1200"/>
      <c r="V45" s="1200"/>
      <c r="W45" s="61"/>
      <c r="X45" s="840"/>
      <c r="Y45" s="61"/>
      <c r="Z45" s="955"/>
      <c r="AA45" s="955"/>
      <c r="AB45" s="61" t="s">
        <v>814</v>
      </c>
      <c r="AC45" s="61"/>
      <c r="AD45" s="876" t="str">
        <f>IF(ISERROR(IF(X45="X",AT45-(AT45*10%),AT45)),"",IF(X45="X",AT45-(AT45*10%),AT45))</f>
        <v/>
      </c>
      <c r="AE45" s="876"/>
      <c r="AF45" s="289" t="s">
        <v>29</v>
      </c>
      <c r="AG45" s="813"/>
      <c r="AP45" s="551">
        <v>14.6</v>
      </c>
      <c r="AQ45" s="800">
        <v>14.82</v>
      </c>
      <c r="AR45" s="802" t="str">
        <f>IF(M45="Pellets","x","formel")</f>
        <v>formel</v>
      </c>
      <c r="AS45" s="802" t="str">
        <f>IF(Q45="nach Würzebruch","x","formel")</f>
        <v>formel</v>
      </c>
      <c r="AT45" s="835" t="e">
        <f>(1000*G45*J45%/$AE$42)*($AS$43*(1-EXP(-0.04*(Z45+$Z$49)))/4.15%*(1+COUNTA(AR45:AS45)/10))%/1</f>
        <v>#DIV/0!</v>
      </c>
    </row>
    <row r="46" spans="2:46" ht="15" customHeight="1">
      <c r="B46" s="60"/>
      <c r="C46" s="958"/>
      <c r="D46" s="958"/>
      <c r="E46" s="804" t="s">
        <v>1292</v>
      </c>
      <c r="F46" s="61"/>
      <c r="G46" s="870">
        <f>IF(ISBLANK(C46*$AE$42),"",C46*$AE$42)</f>
        <v>0</v>
      </c>
      <c r="H46" s="870"/>
      <c r="I46" s="804" t="s">
        <v>13</v>
      </c>
      <c r="J46" s="871"/>
      <c r="K46" s="871"/>
      <c r="L46" s="61"/>
      <c r="M46" s="1200" t="s">
        <v>1237</v>
      </c>
      <c r="N46" s="1200"/>
      <c r="O46" s="1200"/>
      <c r="P46" s="61"/>
      <c r="Q46" s="1200" t="s">
        <v>214</v>
      </c>
      <c r="R46" s="1200"/>
      <c r="S46" s="1200"/>
      <c r="T46" s="1200"/>
      <c r="U46" s="1200"/>
      <c r="V46" s="1200"/>
      <c r="W46" s="61"/>
      <c r="X46" s="840"/>
      <c r="Y46" s="61"/>
      <c r="Z46" s="955"/>
      <c r="AA46" s="955"/>
      <c r="AB46" s="61" t="s">
        <v>814</v>
      </c>
      <c r="AC46" s="61"/>
      <c r="AD46" s="876" t="str">
        <f>IF(ISERROR(IF(X46="X",AT46-(AT46*10%),AT46)),"",IF(X46="X",AT46-(AT46*10%),AT46))</f>
        <v/>
      </c>
      <c r="AE46" s="876"/>
      <c r="AF46" s="289" t="s">
        <v>29</v>
      </c>
      <c r="AG46" s="813"/>
      <c r="AP46" s="551">
        <v>14.7</v>
      </c>
      <c r="AQ46" s="800">
        <v>14.93</v>
      </c>
      <c r="AR46" s="802" t="str">
        <f>IF(M46="Pellets","x","formel")</f>
        <v>formel</v>
      </c>
      <c r="AS46" s="802" t="str">
        <f>IF(Q46="nach Würzebruch","x","formel")</f>
        <v>formel</v>
      </c>
      <c r="AT46" s="835" t="e">
        <f>(1000*G46*J46%/$AE$42)*($AS$43*(1-EXP(-0.04*(Z46+$Z$49)))/4.15%*(1+COUNTA(AR46:AS46)/10))%/1</f>
        <v>#DIV/0!</v>
      </c>
    </row>
    <row r="47" spans="2:46" ht="15" customHeight="1">
      <c r="B47" s="60"/>
      <c r="C47" s="958"/>
      <c r="D47" s="958"/>
      <c r="E47" s="804" t="s">
        <v>1292</v>
      </c>
      <c r="F47" s="61"/>
      <c r="G47" s="870">
        <f>IF(ISBLANK(C47*$AE$42),"",C47*$AE$42)</f>
        <v>0</v>
      </c>
      <c r="H47" s="870"/>
      <c r="I47" s="804" t="s">
        <v>13</v>
      </c>
      <c r="J47" s="871"/>
      <c r="K47" s="871"/>
      <c r="L47" s="61"/>
      <c r="M47" s="1200" t="s">
        <v>1237</v>
      </c>
      <c r="N47" s="1200"/>
      <c r="O47" s="1200"/>
      <c r="P47" s="61"/>
      <c r="Q47" s="1200" t="s">
        <v>214</v>
      </c>
      <c r="R47" s="1200"/>
      <c r="S47" s="1200"/>
      <c r="T47" s="1200"/>
      <c r="U47" s="1200"/>
      <c r="V47" s="1200"/>
      <c r="W47" s="61"/>
      <c r="X47" s="840"/>
      <c r="Y47" s="61"/>
      <c r="Z47" s="955"/>
      <c r="AA47" s="955"/>
      <c r="AB47" s="61" t="s">
        <v>814</v>
      </c>
      <c r="AC47" s="61"/>
      <c r="AD47" s="876" t="str">
        <f>IF(ISERROR(IF(X47="X",AT47-(AT47*10%),AT47)),"",IF(X47="X",AT47-(AT47*10%),AT47))</f>
        <v/>
      </c>
      <c r="AE47" s="876"/>
      <c r="AF47" s="289" t="s">
        <v>29</v>
      </c>
      <c r="AG47" s="813"/>
      <c r="AP47" s="551">
        <v>14.8</v>
      </c>
      <c r="AQ47" s="800">
        <v>15.03</v>
      </c>
      <c r="AR47" s="802" t="str">
        <f>IF(M47="Pellets","x","formel")</f>
        <v>formel</v>
      </c>
      <c r="AS47" s="802" t="str">
        <f>IF(Q47="nach Würzebruch","x","formel")</f>
        <v>formel</v>
      </c>
      <c r="AT47" s="835" t="e">
        <f>(1000*G47*J47%/$AE$42)*($AS$43*(1-EXP(-0.04*(Z47+$Z$49)))/4.15%*(1+COUNTA(AR47:AS47)/10))%/1</f>
        <v>#DIV/0!</v>
      </c>
    </row>
    <row r="48" spans="2:46" ht="15" customHeight="1">
      <c r="B48" s="60"/>
      <c r="C48" s="61"/>
      <c r="D48" s="61"/>
      <c r="E48" s="61"/>
      <c r="F48" s="61"/>
      <c r="G48" s="61"/>
      <c r="H48" s="61"/>
      <c r="I48" s="61"/>
      <c r="J48" s="61"/>
      <c r="K48" s="61"/>
      <c r="L48" s="82"/>
      <c r="M48" s="61"/>
      <c r="N48" s="61"/>
      <c r="O48" s="82"/>
      <c r="P48" s="61"/>
      <c r="Q48" s="61"/>
      <c r="R48" s="61"/>
      <c r="S48" s="61"/>
      <c r="T48" s="61"/>
      <c r="U48" s="61"/>
      <c r="V48" s="61"/>
      <c r="W48" s="61"/>
      <c r="X48" s="61"/>
      <c r="Y48" s="61"/>
      <c r="Z48" s="61"/>
      <c r="AA48" s="61"/>
      <c r="AB48" s="61"/>
      <c r="AC48" s="61"/>
      <c r="AD48" s="289" t="s">
        <v>1298</v>
      </c>
      <c r="AE48" s="61"/>
      <c r="AF48" s="61"/>
      <c r="AG48" s="62"/>
      <c r="AP48" s="551">
        <v>14.9</v>
      </c>
      <c r="AQ48" s="800">
        <v>15.14</v>
      </c>
      <c r="AR48" s="802"/>
      <c r="AS48" s="802"/>
      <c r="AT48" s="408"/>
    </row>
    <row r="49" spans="2:46" ht="15" customHeight="1">
      <c r="B49" s="60"/>
      <c r="C49" s="61"/>
      <c r="D49" s="61"/>
      <c r="E49" s="61"/>
      <c r="F49" s="61"/>
      <c r="G49" s="61"/>
      <c r="H49" s="61"/>
      <c r="I49" s="61"/>
      <c r="J49" s="61"/>
      <c r="K49" s="61"/>
      <c r="L49" s="82"/>
      <c r="M49" s="61"/>
      <c r="N49" s="61"/>
      <c r="O49" s="82"/>
      <c r="P49" s="61"/>
      <c r="Q49" s="61"/>
      <c r="R49" s="61"/>
      <c r="S49" s="61"/>
      <c r="T49" s="61"/>
      <c r="U49" s="61"/>
      <c r="V49" s="61"/>
      <c r="W49" s="61"/>
      <c r="X49" s="61"/>
      <c r="Y49" s="82" t="s">
        <v>45</v>
      </c>
      <c r="Z49" s="955"/>
      <c r="AA49" s="955"/>
      <c r="AB49" s="61" t="s">
        <v>814</v>
      </c>
      <c r="AC49" s="61"/>
      <c r="AD49" s="876" t="str">
        <f>IF(ISERROR(AD44+AD45+AD46+AD47),"",AD44+AD45+AD46+AD47)</f>
        <v/>
      </c>
      <c r="AE49" s="876"/>
      <c r="AF49" s="289" t="s">
        <v>29</v>
      </c>
      <c r="AG49" s="813"/>
      <c r="AP49" s="551">
        <v>15</v>
      </c>
      <c r="AQ49" s="800">
        <v>15.25</v>
      </c>
      <c r="AR49" s="802"/>
      <c r="AS49" s="802"/>
      <c r="AT49" s="408"/>
    </row>
    <row r="50" spans="2:46" ht="15" customHeight="1">
      <c r="B50" s="60"/>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2"/>
      <c r="AP50" s="551">
        <v>15.1</v>
      </c>
      <c r="AQ50" s="800">
        <v>15.36</v>
      </c>
      <c r="AR50" s="802"/>
      <c r="AS50" s="802"/>
      <c r="AT50" s="408"/>
    </row>
    <row r="51" spans="2:46" ht="15" customHeight="1">
      <c r="B51" s="60"/>
      <c r="C51" s="530" t="s">
        <v>21</v>
      </c>
      <c r="D51" s="289" t="s">
        <v>1249</v>
      </c>
      <c r="E51" s="61"/>
      <c r="F51" s="61"/>
      <c r="G51" s="804"/>
      <c r="H51" s="804"/>
      <c r="I51" s="804"/>
      <c r="J51" s="804"/>
      <c r="K51" s="804"/>
      <c r="L51" s="804"/>
      <c r="M51" s="804"/>
      <c r="N51" s="804"/>
      <c r="O51" s="807" t="s">
        <v>1250</v>
      </c>
      <c r="P51" s="949"/>
      <c r="Q51" s="949"/>
      <c r="R51" s="804" t="s">
        <v>883</v>
      </c>
      <c r="S51" s="804"/>
      <c r="T51" s="804"/>
      <c r="U51" s="807"/>
      <c r="V51" s="804"/>
      <c r="W51" s="807" t="s">
        <v>1133</v>
      </c>
      <c r="X51" s="949"/>
      <c r="Y51" s="949"/>
      <c r="Z51" s="804" t="s">
        <v>39</v>
      </c>
      <c r="AA51" s="804"/>
      <c r="AB51" s="804"/>
      <c r="AC51" s="804"/>
      <c r="AD51" s="805" t="s">
        <v>242</v>
      </c>
      <c r="AE51" s="875" t="str">
        <f>IF(P51*X51&lt;&gt;0,((P51+1.013)*EXP(-10.73797+(2617.25/(X51+273.15))))*10,"")</f>
        <v/>
      </c>
      <c r="AF51" s="875"/>
      <c r="AG51" s="799" t="s">
        <v>816</v>
      </c>
      <c r="AP51" s="551">
        <v>15.2</v>
      </c>
      <c r="AQ51" s="800">
        <v>15.47</v>
      </c>
      <c r="AR51" s="802"/>
      <c r="AS51" s="802"/>
      <c r="AT51" s="408"/>
    </row>
    <row r="52" spans="2:46" ht="15" customHeight="1">
      <c r="B52" s="60"/>
      <c r="C52" s="61"/>
      <c r="D52" s="61"/>
      <c r="E52" s="61"/>
      <c r="F52" s="61"/>
      <c r="G52" s="61"/>
      <c r="H52" s="61"/>
      <c r="I52" s="61"/>
      <c r="J52" s="61"/>
      <c r="K52" s="61"/>
      <c r="L52" s="61"/>
      <c r="M52" s="61"/>
      <c r="N52" s="61"/>
      <c r="O52" s="82" t="s">
        <v>1252</v>
      </c>
      <c r="P52" s="949"/>
      <c r="Q52" s="949"/>
      <c r="R52" s="804" t="s">
        <v>816</v>
      </c>
      <c r="S52" s="804"/>
      <c r="T52" s="804"/>
      <c r="U52" s="807"/>
      <c r="V52" s="804"/>
      <c r="W52" s="807" t="s">
        <v>1133</v>
      </c>
      <c r="X52" s="949"/>
      <c r="Y52" s="949"/>
      <c r="Z52" s="804" t="s">
        <v>39</v>
      </c>
      <c r="AA52" s="61"/>
      <c r="AB52" s="61"/>
      <c r="AC52" s="61"/>
      <c r="AD52" s="805" t="s">
        <v>242</v>
      </c>
      <c r="AE52" s="875">
        <f>(P52 / ((2.71828182845904^(-10.73797+(2617.25/(X52+273.15))))*10))-1.013</f>
        <v>-1.01</v>
      </c>
      <c r="AF52" s="875"/>
      <c r="AG52" s="799" t="s">
        <v>883</v>
      </c>
      <c r="AP52" s="551">
        <v>15.3</v>
      </c>
      <c r="AQ52" s="800">
        <v>15.57</v>
      </c>
      <c r="AR52" s="802"/>
      <c r="AS52" s="802"/>
      <c r="AT52" s="408"/>
    </row>
    <row r="53" spans="2:46" ht="15" customHeight="1">
      <c r="B53" s="60"/>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2"/>
      <c r="AP53" s="551">
        <v>15.4</v>
      </c>
      <c r="AQ53" s="800">
        <v>15.69</v>
      </c>
      <c r="AR53" s="802"/>
      <c r="AS53" s="802"/>
      <c r="AT53" s="408"/>
    </row>
    <row r="54" spans="2:46" ht="15" customHeight="1">
      <c r="B54" s="60"/>
      <c r="C54" s="530" t="s">
        <v>21</v>
      </c>
      <c r="D54" s="289" t="s">
        <v>1282</v>
      </c>
      <c r="E54" s="61"/>
      <c r="F54" s="61"/>
      <c r="G54" s="61"/>
      <c r="H54" s="61"/>
      <c r="I54" s="61"/>
      <c r="J54" s="61"/>
      <c r="K54" s="61"/>
      <c r="L54" s="61"/>
      <c r="M54" s="61"/>
      <c r="N54" s="61"/>
      <c r="O54" s="61"/>
      <c r="P54" s="61"/>
      <c r="Q54" s="61"/>
      <c r="R54" s="61"/>
      <c r="S54" s="61"/>
      <c r="T54" s="61"/>
      <c r="U54" s="61"/>
      <c r="V54" s="61"/>
      <c r="W54" s="61"/>
      <c r="X54" s="61"/>
      <c r="Y54" s="804"/>
      <c r="Z54" s="804"/>
      <c r="AA54" s="61"/>
      <c r="AB54" s="61"/>
      <c r="AC54" s="61"/>
      <c r="AD54" s="61"/>
      <c r="AE54" s="61"/>
      <c r="AF54" s="61"/>
      <c r="AG54" s="62"/>
      <c r="AP54" s="551">
        <v>15.5</v>
      </c>
      <c r="AQ54" s="800">
        <v>15.79</v>
      </c>
      <c r="AR54" s="802"/>
      <c r="AS54" s="802"/>
      <c r="AT54" s="408"/>
    </row>
    <row r="55" spans="2:46" ht="15" customHeight="1">
      <c r="B55" s="60"/>
      <c r="C55" s="61"/>
      <c r="D55" s="61"/>
      <c r="E55" s="61"/>
      <c r="F55" s="82" t="s">
        <v>101</v>
      </c>
      <c r="G55" s="949"/>
      <c r="H55" s="949"/>
      <c r="I55" s="804" t="s">
        <v>39</v>
      </c>
      <c r="J55" s="61"/>
      <c r="K55" s="61"/>
      <c r="L55" s="61"/>
      <c r="M55" s="82" t="s">
        <v>1230</v>
      </c>
      <c r="N55" s="949"/>
      <c r="O55" s="949"/>
      <c r="P55" s="804" t="s">
        <v>39</v>
      </c>
      <c r="Q55" s="61"/>
      <c r="R55" s="61"/>
      <c r="S55" s="61"/>
      <c r="T55" s="61"/>
      <c r="U55" s="61"/>
      <c r="V55" s="82"/>
      <c r="W55" s="82" t="s">
        <v>65</v>
      </c>
      <c r="X55" s="872" t="str">
        <f>IF(G55*N55&lt;&gt;0,81.92*(G55-N55)/(206.65-1.0665*G55),"")</f>
        <v/>
      </c>
      <c r="Y55" s="872"/>
      <c r="Z55" s="289" t="s">
        <v>1277</v>
      </c>
      <c r="AA55" s="289"/>
      <c r="AB55" s="61"/>
      <c r="AC55" s="289" t="s">
        <v>1276</v>
      </c>
      <c r="AD55" s="872" t="str">
        <f>IF(ISERROR($AR$55*X55/0.794),"",$AR$55*X55/0.794)</f>
        <v/>
      </c>
      <c r="AE55" s="872"/>
      <c r="AF55" s="289" t="s">
        <v>1275</v>
      </c>
      <c r="AG55" s="62"/>
      <c r="AP55" s="551">
        <v>15.6</v>
      </c>
      <c r="AQ55" s="800">
        <v>15.9</v>
      </c>
      <c r="AR55" s="802" t="str">
        <f>IF(N55&lt;&gt;0,261.1/(261.56-N55),"formel")</f>
        <v>formel</v>
      </c>
      <c r="AS55" s="802"/>
      <c r="AT55" s="408"/>
    </row>
    <row r="56" spans="2:46" s="77" customFormat="1" ht="15" customHeight="1">
      <c r="B56" s="60"/>
      <c r="C56" s="61"/>
      <c r="D56" s="61"/>
      <c r="E56" s="61"/>
      <c r="F56" s="61"/>
      <c r="G56" s="61"/>
      <c r="H56" s="61"/>
      <c r="I56" s="61"/>
      <c r="J56" s="61"/>
      <c r="K56" s="61"/>
      <c r="L56" s="61"/>
      <c r="M56" s="61"/>
      <c r="N56" s="61"/>
      <c r="O56" s="61"/>
      <c r="P56" s="61"/>
      <c r="Q56" s="61"/>
      <c r="R56" s="61"/>
      <c r="S56" s="61"/>
      <c r="T56" s="61"/>
      <c r="U56" s="61"/>
      <c r="V56" s="61"/>
      <c r="W56" s="82" t="s">
        <v>1283</v>
      </c>
      <c r="X56" s="876" t="str">
        <f>IF(ISERROR((6.9*X55+4*(AR56-0.1))*10*0.1),"",(6.9*X55+4*(AR56-0.1))*10*0.1)</f>
        <v/>
      </c>
      <c r="Y56" s="876"/>
      <c r="Z56" s="289" t="s">
        <v>1284</v>
      </c>
      <c r="AA56" s="289"/>
      <c r="AB56" s="61"/>
      <c r="AC56" s="289" t="s">
        <v>1276</v>
      </c>
      <c r="AD56" s="876" t="str">
        <f>IF(ISERROR(X56*4.184),"",X56*4.184)</f>
        <v/>
      </c>
      <c r="AE56" s="876"/>
      <c r="AF56" s="289" t="s">
        <v>1285</v>
      </c>
      <c r="AG56" s="62"/>
      <c r="AP56" s="551">
        <v>15.7</v>
      </c>
      <c r="AQ56" s="800">
        <v>16</v>
      </c>
      <c r="AR56" s="802" t="str">
        <f>IF(G55*N55&lt;&gt;0,((0.1808*G55)+(0.8192*N55)),"formel")</f>
        <v>formel</v>
      </c>
      <c r="AS56" s="802"/>
      <c r="AT56" s="408"/>
    </row>
    <row r="57" spans="2:46" ht="15" customHeight="1">
      <c r="B57" s="60"/>
      <c r="C57" s="61"/>
      <c r="D57" s="61"/>
      <c r="E57" s="61"/>
      <c r="F57" s="61"/>
      <c r="G57" s="61"/>
      <c r="H57" s="61"/>
      <c r="I57" s="61"/>
      <c r="J57" s="61"/>
      <c r="K57" s="61"/>
      <c r="L57" s="61"/>
      <c r="M57" s="61"/>
      <c r="N57" s="61"/>
      <c r="O57" s="61"/>
      <c r="P57" s="61"/>
      <c r="Q57" s="61"/>
      <c r="R57" s="61"/>
      <c r="S57" s="61"/>
      <c r="T57" s="61"/>
      <c r="U57" s="61"/>
      <c r="V57" s="61"/>
      <c r="W57" s="82"/>
      <c r="X57" s="61"/>
      <c r="Y57" s="82"/>
      <c r="Z57" s="289"/>
      <c r="AA57" s="289"/>
      <c r="AB57" s="61"/>
      <c r="AC57" s="289"/>
      <c r="AD57" s="61"/>
      <c r="AE57" s="82"/>
      <c r="AF57" s="289"/>
      <c r="AG57" s="62"/>
      <c r="AP57" s="551">
        <v>15.8</v>
      </c>
      <c r="AQ57" s="800">
        <v>16.11</v>
      </c>
      <c r="AR57" s="802"/>
      <c r="AS57" s="802"/>
      <c r="AT57" s="408"/>
    </row>
    <row r="58" spans="2:46" ht="15" customHeight="1">
      <c r="B58" s="60"/>
      <c r="C58" s="530" t="s">
        <v>21</v>
      </c>
      <c r="D58" s="289" t="s">
        <v>1289</v>
      </c>
      <c r="E58" s="61"/>
      <c r="F58" s="61"/>
      <c r="G58" s="804"/>
      <c r="H58" s="804"/>
      <c r="I58" s="804"/>
      <c r="J58" s="804"/>
      <c r="K58" s="804"/>
      <c r="L58" s="804"/>
      <c r="M58" s="804"/>
      <c r="N58" s="804"/>
      <c r="O58" s="804"/>
      <c r="P58" s="82" t="s">
        <v>101</v>
      </c>
      <c r="Q58" s="949"/>
      <c r="R58" s="949"/>
      <c r="S58" s="804" t="s">
        <v>39</v>
      </c>
      <c r="T58" s="804"/>
      <c r="U58" s="804"/>
      <c r="V58" s="804"/>
      <c r="W58" s="807" t="s">
        <v>19</v>
      </c>
      <c r="X58" s="949"/>
      <c r="Y58" s="949"/>
      <c r="Z58" s="804" t="s">
        <v>876</v>
      </c>
      <c r="AA58" s="804"/>
      <c r="AB58" s="804"/>
      <c r="AC58" s="804"/>
      <c r="AD58" s="804"/>
      <c r="AE58" s="804"/>
      <c r="AF58" s="804"/>
      <c r="AG58" s="62"/>
      <c r="AP58" s="551">
        <v>15.9</v>
      </c>
      <c r="AQ58" s="800">
        <v>16.22</v>
      </c>
      <c r="AR58" s="802"/>
      <c r="AS58" s="802"/>
      <c r="AT58" s="408"/>
    </row>
    <row r="59" spans="2:46" ht="15" customHeight="1">
      <c r="B59" s="60"/>
      <c r="C59" s="812" t="s">
        <v>18</v>
      </c>
      <c r="D59" s="61"/>
      <c r="E59" s="61"/>
      <c r="F59" s="61"/>
      <c r="G59" s="804"/>
      <c r="H59" s="804"/>
      <c r="I59" s="804"/>
      <c r="J59" s="804"/>
      <c r="K59" s="804"/>
      <c r="L59" s="804"/>
      <c r="M59" s="804"/>
      <c r="N59" s="804"/>
      <c r="O59" s="804"/>
      <c r="P59" s="804"/>
      <c r="Q59" s="804"/>
      <c r="R59" s="804"/>
      <c r="S59" s="804"/>
      <c r="T59" s="804"/>
      <c r="U59" s="807"/>
      <c r="V59" s="804"/>
      <c r="W59" s="807" t="s">
        <v>16</v>
      </c>
      <c r="X59" s="949"/>
      <c r="Y59" s="949"/>
      <c r="Z59" s="804" t="s">
        <v>827</v>
      </c>
      <c r="AA59" s="804"/>
      <c r="AB59" s="804"/>
      <c r="AC59" s="804"/>
      <c r="AD59" s="805" t="s">
        <v>242</v>
      </c>
      <c r="AE59" s="872" t="str">
        <f>IF(ISERROR(AP42*X59/X58),"", AP42*X59/X58)</f>
        <v/>
      </c>
      <c r="AF59" s="872"/>
      <c r="AG59" s="799" t="s">
        <v>5</v>
      </c>
      <c r="AP59" s="551">
        <v>16</v>
      </c>
      <c r="AQ59" s="800">
        <v>16.34</v>
      </c>
      <c r="AR59" s="802"/>
      <c r="AS59" s="802"/>
      <c r="AT59" s="408"/>
    </row>
    <row r="60" spans="2:46" ht="15" customHeight="1">
      <c r="B60" s="60"/>
      <c r="C60" s="812" t="s">
        <v>98</v>
      </c>
      <c r="D60" s="61"/>
      <c r="E60" s="61"/>
      <c r="F60" s="61"/>
      <c r="G60" s="804"/>
      <c r="H60" s="804"/>
      <c r="I60" s="804"/>
      <c r="J60" s="804"/>
      <c r="K60" s="804"/>
      <c r="L60" s="804"/>
      <c r="M60" s="804"/>
      <c r="N60" s="804"/>
      <c r="O60" s="804"/>
      <c r="P60" s="804"/>
      <c r="Q60" s="804"/>
      <c r="R60" s="804"/>
      <c r="S60" s="804"/>
      <c r="T60" s="804"/>
      <c r="U60" s="804"/>
      <c r="V60" s="804"/>
      <c r="W60" s="807" t="s">
        <v>1290</v>
      </c>
      <c r="X60" s="949"/>
      <c r="Y60" s="949"/>
      <c r="Z60" s="804" t="s">
        <v>827</v>
      </c>
      <c r="AA60" s="804"/>
      <c r="AB60" s="804"/>
      <c r="AC60" s="804"/>
      <c r="AD60" s="805" t="s">
        <v>242</v>
      </c>
      <c r="AE60" s="872" t="str">
        <f>IF(ISERROR(IF(X60*Q58&lt;&gt;0,(X60)*Q58*(((4.13*Q58)+997)/1000)/X58,"")),"",IF(X60*Q58&lt;&gt;0,(X60)*Q58*(((4.13*Q58)+997)/1000)/X58,""))</f>
        <v/>
      </c>
      <c r="AF60" s="872"/>
      <c r="AG60" s="799" t="s">
        <v>5</v>
      </c>
      <c r="AP60" s="551">
        <v>16.100000000000001</v>
      </c>
      <c r="AQ60" s="800">
        <v>16.45</v>
      </c>
      <c r="AR60" s="802"/>
      <c r="AS60" s="802"/>
      <c r="AT60" s="408"/>
    </row>
    <row r="61" spans="2:46" ht="16.5" customHeight="1">
      <c r="B61" s="60"/>
      <c r="C61" s="61"/>
      <c r="D61" s="61"/>
      <c r="E61" s="61"/>
      <c r="F61" s="61"/>
      <c r="G61" s="804"/>
      <c r="H61" s="804"/>
      <c r="I61" s="804"/>
      <c r="J61" s="804"/>
      <c r="K61" s="804"/>
      <c r="L61" s="804"/>
      <c r="M61" s="804"/>
      <c r="N61" s="804"/>
      <c r="O61" s="804"/>
      <c r="P61" s="804"/>
      <c r="Q61" s="804"/>
      <c r="R61" s="804"/>
      <c r="S61" s="804"/>
      <c r="T61" s="804"/>
      <c r="U61" s="804"/>
      <c r="V61" s="804"/>
      <c r="W61" s="804"/>
      <c r="X61" s="804"/>
      <c r="Y61" s="804"/>
      <c r="Z61" s="804"/>
      <c r="AA61" s="804"/>
      <c r="AB61" s="804"/>
      <c r="AC61" s="804"/>
      <c r="AD61" s="804"/>
      <c r="AE61" s="804"/>
      <c r="AF61" s="804"/>
      <c r="AG61" s="62"/>
      <c r="AP61" s="551">
        <v>16.2</v>
      </c>
      <c r="AQ61" s="800">
        <v>16.559999999999999</v>
      </c>
      <c r="AR61" s="802"/>
      <c r="AS61" s="802"/>
      <c r="AT61" s="408"/>
    </row>
    <row r="62" spans="2:46" ht="16.5" customHeight="1">
      <c r="B62" s="60"/>
      <c r="C62" s="530" t="s">
        <v>21</v>
      </c>
      <c r="D62" s="289" t="s">
        <v>1278</v>
      </c>
      <c r="E62" s="61"/>
      <c r="F62" s="61"/>
      <c r="G62" s="61"/>
      <c r="H62" s="61"/>
      <c r="I62" s="61"/>
      <c r="J62" s="61"/>
      <c r="K62" s="61"/>
      <c r="L62" s="61"/>
      <c r="M62" s="61"/>
      <c r="N62" s="61"/>
      <c r="O62" s="61"/>
      <c r="P62" s="61"/>
      <c r="Q62" s="61"/>
      <c r="R62" s="61"/>
      <c r="S62" s="82" t="s">
        <v>101</v>
      </c>
      <c r="T62" s="949"/>
      <c r="U62" s="949"/>
      <c r="V62" s="804" t="s">
        <v>39</v>
      </c>
      <c r="W62" s="61"/>
      <c r="X62" s="61"/>
      <c r="Y62" s="61"/>
      <c r="Z62" s="61"/>
      <c r="AA62" s="61"/>
      <c r="AB62" s="61"/>
      <c r="AC62" s="61"/>
      <c r="AD62" s="61"/>
      <c r="AE62" s="61"/>
      <c r="AF62" s="61"/>
      <c r="AG62" s="62"/>
      <c r="AP62" s="551">
        <v>16.3</v>
      </c>
      <c r="AQ62" s="800">
        <v>16.670000000000002</v>
      </c>
      <c r="AR62" s="802"/>
      <c r="AS62" s="802"/>
      <c r="AT62" s="408"/>
    </row>
    <row r="63" spans="2:46" ht="16.5" customHeight="1">
      <c r="B63" s="60"/>
      <c r="C63" s="812" t="s">
        <v>1279</v>
      </c>
      <c r="D63" s="61"/>
      <c r="E63" s="61"/>
      <c r="F63" s="61"/>
      <c r="G63" s="82"/>
      <c r="H63" s="61"/>
      <c r="I63" s="61"/>
      <c r="J63" s="61"/>
      <c r="K63" s="61"/>
      <c r="L63" s="61"/>
      <c r="M63" s="61"/>
      <c r="N63" s="61"/>
      <c r="O63" s="61"/>
      <c r="P63" s="82"/>
      <c r="Q63" s="61"/>
      <c r="R63" s="82"/>
      <c r="S63" s="82" t="s">
        <v>1273</v>
      </c>
      <c r="T63" s="949"/>
      <c r="U63" s="949"/>
      <c r="V63" s="804" t="s">
        <v>39</v>
      </c>
      <c r="W63" s="61"/>
      <c r="X63" s="61"/>
      <c r="Y63" s="810" t="s">
        <v>1274</v>
      </c>
      <c r="Z63" s="875" t="str">
        <f>IF(T62*T63&lt;&gt;0,(T62-T63)*100/T62,"")</f>
        <v/>
      </c>
      <c r="AA63" s="875"/>
      <c r="AB63" s="289" t="s">
        <v>5</v>
      </c>
      <c r="AC63" s="289"/>
      <c r="AD63" s="399" t="s">
        <v>97</v>
      </c>
      <c r="AE63" s="875" t="str">
        <f>IF(ISERROR(Z63*0.81),"",Z63*0.81)</f>
        <v/>
      </c>
      <c r="AF63" s="875"/>
      <c r="AG63" s="809" t="s">
        <v>5</v>
      </c>
      <c r="AP63" s="551">
        <v>16.399999999999999</v>
      </c>
      <c r="AQ63" s="800">
        <v>16.77</v>
      </c>
      <c r="AR63" s="802"/>
      <c r="AS63" s="802"/>
      <c r="AT63" s="408"/>
    </row>
    <row r="64" spans="2:46" ht="16.5" customHeight="1">
      <c r="B64" s="60"/>
      <c r="C64" s="812"/>
      <c r="D64" s="61"/>
      <c r="E64" s="61"/>
      <c r="F64" s="61"/>
      <c r="G64" s="82"/>
      <c r="H64" s="61"/>
      <c r="I64" s="61"/>
      <c r="J64" s="61"/>
      <c r="K64" s="61"/>
      <c r="L64" s="61"/>
      <c r="M64" s="61"/>
      <c r="N64" s="61"/>
      <c r="O64" s="61"/>
      <c r="P64" s="82"/>
      <c r="Q64" s="61"/>
      <c r="R64" s="82"/>
      <c r="S64" s="82" t="s">
        <v>1338</v>
      </c>
      <c r="T64" s="949"/>
      <c r="U64" s="949"/>
      <c r="V64" s="804" t="s">
        <v>5</v>
      </c>
      <c r="W64" s="82"/>
      <c r="X64" s="61"/>
      <c r="Y64" s="82"/>
      <c r="Z64" s="289"/>
      <c r="AA64" s="289"/>
      <c r="AB64" s="61"/>
      <c r="AC64" s="289"/>
      <c r="AD64" s="399" t="s">
        <v>1339</v>
      </c>
      <c r="AE64" s="872">
        <f>IF(ISERROR(T62/100*(100-T64)),"",T62/100*(100-T64))</f>
        <v>0</v>
      </c>
      <c r="AF64" s="872"/>
      <c r="AG64" s="809" t="s">
        <v>39</v>
      </c>
      <c r="AP64" s="551">
        <v>16.5</v>
      </c>
      <c r="AQ64" s="800">
        <v>16.88</v>
      </c>
      <c r="AR64" s="802"/>
      <c r="AS64" s="802"/>
      <c r="AT64" s="408"/>
    </row>
    <row r="65" spans="2:46" ht="16.5" customHeight="1">
      <c r="B65" s="60"/>
      <c r="C65" s="812" t="s">
        <v>1280</v>
      </c>
      <c r="D65" s="61"/>
      <c r="E65" s="61"/>
      <c r="F65" s="61"/>
      <c r="G65" s="82"/>
      <c r="H65" s="61"/>
      <c r="I65" s="61"/>
      <c r="J65" s="61"/>
      <c r="K65" s="61"/>
      <c r="L65" s="61"/>
      <c r="M65" s="61"/>
      <c r="N65" s="61"/>
      <c r="O65" s="61"/>
      <c r="P65" s="61"/>
      <c r="Q65" s="61"/>
      <c r="R65" s="61"/>
      <c r="S65" s="82" t="s">
        <v>1286</v>
      </c>
      <c r="T65" s="949"/>
      <c r="U65" s="949"/>
      <c r="V65" s="804" t="s">
        <v>39</v>
      </c>
      <c r="W65" s="61"/>
      <c r="X65" s="61"/>
      <c r="Y65" s="810" t="s">
        <v>1281</v>
      </c>
      <c r="Z65" s="875" t="str">
        <f>IF(ISERROR(IF(T62*T65&lt;&gt;0,(T62-T65)/T62*100,"")),"",IF(T62*T65&lt;&gt;0,(T62-T65)/T62*100,""))</f>
        <v/>
      </c>
      <c r="AA65" s="875"/>
      <c r="AB65" s="289" t="s">
        <v>5</v>
      </c>
      <c r="AC65" s="289"/>
      <c r="AD65" s="399" t="s">
        <v>95</v>
      </c>
      <c r="AE65" s="875" t="str">
        <f>IF(ISERROR(Z65*0.81),"",Z65*0.81)</f>
        <v/>
      </c>
      <c r="AF65" s="875"/>
      <c r="AG65" s="809" t="s">
        <v>5</v>
      </c>
      <c r="AP65" s="551">
        <v>16.600000000000001</v>
      </c>
      <c r="AQ65" s="800">
        <v>16.989999999999998</v>
      </c>
      <c r="AR65" s="802"/>
      <c r="AS65" s="802"/>
      <c r="AT65" s="408"/>
    </row>
    <row r="66" spans="2:46" ht="15" customHeight="1">
      <c r="B66" s="60"/>
      <c r="C66" s="812" t="s">
        <v>1336</v>
      </c>
      <c r="D66" s="61"/>
      <c r="E66" s="61"/>
      <c r="F66" s="61"/>
      <c r="G66" s="61"/>
      <c r="H66" s="61"/>
      <c r="I66" s="61"/>
      <c r="J66" s="61"/>
      <c r="K66" s="61"/>
      <c r="L66" s="61"/>
      <c r="M66" s="61"/>
      <c r="N66" s="61"/>
      <c r="O66" s="61"/>
      <c r="P66" s="61"/>
      <c r="Q66" s="61"/>
      <c r="R66" s="61"/>
      <c r="S66" s="82" t="s">
        <v>1287</v>
      </c>
      <c r="T66" s="949"/>
      <c r="U66" s="949"/>
      <c r="V66" s="804" t="s">
        <v>39</v>
      </c>
      <c r="W66" s="61"/>
      <c r="X66" s="61"/>
      <c r="Y66" s="810" t="s">
        <v>1288</v>
      </c>
      <c r="Z66" s="875" t="str">
        <f>IF(ISERROR(IF(T62*T66&lt;&gt;0,(T62-T66)/T62*100,"")),"",IF(T62*T66&lt;&gt;0,(T62-T66)/T62*100,""))</f>
        <v/>
      </c>
      <c r="AA66" s="875"/>
      <c r="AB66" s="289" t="s">
        <v>5</v>
      </c>
      <c r="AC66" s="289"/>
      <c r="AD66" s="399" t="s">
        <v>104</v>
      </c>
      <c r="AE66" s="875" t="str">
        <f>IF(ISERROR(Z66*0.81),"",Z66*0.81)</f>
        <v/>
      </c>
      <c r="AF66" s="875"/>
      <c r="AG66" s="809" t="s">
        <v>5</v>
      </c>
      <c r="AP66" s="551">
        <v>16.7</v>
      </c>
      <c r="AQ66" s="800">
        <v>17.100000000000001</v>
      </c>
      <c r="AR66" s="802"/>
      <c r="AS66" s="802"/>
      <c r="AT66" s="408"/>
    </row>
    <row r="67" spans="2:46" ht="15" customHeight="1">
      <c r="B67" s="60"/>
      <c r="C67" s="61"/>
      <c r="D67" s="61"/>
      <c r="E67" s="61"/>
      <c r="F67" s="61"/>
      <c r="G67" s="61"/>
      <c r="H67" s="61"/>
      <c r="I67" s="61"/>
      <c r="J67" s="61"/>
      <c r="K67" s="61"/>
      <c r="L67" s="61"/>
      <c r="M67" s="61"/>
      <c r="N67" s="61"/>
      <c r="O67" s="61"/>
      <c r="P67" s="61"/>
      <c r="Q67" s="61"/>
      <c r="R67" s="61"/>
      <c r="S67" s="61"/>
      <c r="T67" s="61"/>
      <c r="U67" s="61"/>
      <c r="V67" s="61"/>
      <c r="W67" s="82"/>
      <c r="X67" s="61"/>
      <c r="Y67" s="82"/>
      <c r="Z67" s="289"/>
      <c r="AA67" s="289"/>
      <c r="AB67" s="61"/>
      <c r="AC67" s="289"/>
      <c r="AD67" s="61"/>
      <c r="AE67" s="82"/>
      <c r="AF67" s="289"/>
      <c r="AG67" s="62"/>
      <c r="AP67" s="551">
        <v>16.8</v>
      </c>
      <c r="AQ67" s="800">
        <v>17.21</v>
      </c>
      <c r="AR67" s="802"/>
      <c r="AS67" s="802"/>
      <c r="AT67" s="408"/>
    </row>
    <row r="68" spans="2:46" ht="15" customHeight="1">
      <c r="B68" s="60"/>
      <c r="C68" s="61"/>
      <c r="D68" s="61"/>
      <c r="E68" s="61"/>
      <c r="F68" s="61"/>
      <c r="G68" s="61"/>
      <c r="H68" s="61"/>
      <c r="I68" s="61"/>
      <c r="J68" s="61"/>
      <c r="K68" s="61"/>
      <c r="L68" s="61"/>
      <c r="M68" s="61"/>
      <c r="N68" s="61"/>
      <c r="O68" s="61"/>
      <c r="P68" s="61"/>
      <c r="Q68" s="61"/>
      <c r="R68" s="61"/>
      <c r="S68" s="61"/>
      <c r="T68" s="61"/>
      <c r="U68" s="61"/>
      <c r="V68" s="61"/>
      <c r="W68" s="82"/>
      <c r="X68" s="61"/>
      <c r="Y68" s="82"/>
      <c r="Z68" s="289"/>
      <c r="AA68" s="289"/>
      <c r="AB68" s="61"/>
      <c r="AC68" s="289"/>
      <c r="AD68" s="61"/>
      <c r="AE68" s="82"/>
      <c r="AF68" s="289"/>
      <c r="AG68" s="62"/>
      <c r="AP68" s="551">
        <v>16.899999999999999</v>
      </c>
      <c r="AQ68" s="800">
        <v>17.309999999999999</v>
      </c>
      <c r="AR68" s="802"/>
      <c r="AS68" s="802"/>
      <c r="AT68" s="408"/>
    </row>
    <row r="69" spans="2:46" ht="15" customHeight="1">
      <c r="B69" s="60"/>
      <c r="C69" s="61"/>
      <c r="D69" s="61"/>
      <c r="E69" s="61"/>
      <c r="F69" s="61"/>
      <c r="G69" s="61"/>
      <c r="H69" s="61"/>
      <c r="I69" s="61"/>
      <c r="J69" s="61"/>
      <c r="K69" s="61"/>
      <c r="L69" s="61"/>
      <c r="M69" s="61"/>
      <c r="N69" s="61"/>
      <c r="O69" s="61"/>
      <c r="P69" s="61"/>
      <c r="Q69" s="61"/>
      <c r="R69" s="61"/>
      <c r="S69" s="61"/>
      <c r="T69" s="61"/>
      <c r="U69" s="61"/>
      <c r="V69" s="61"/>
      <c r="W69" s="82"/>
      <c r="X69" s="61"/>
      <c r="Y69" s="82"/>
      <c r="Z69" s="289"/>
      <c r="AA69" s="289"/>
      <c r="AB69" s="61"/>
      <c r="AC69" s="289"/>
      <c r="AD69" s="61"/>
      <c r="AE69" s="82"/>
      <c r="AF69" s="289"/>
      <c r="AG69" s="62"/>
      <c r="AP69" s="551">
        <v>17</v>
      </c>
      <c r="AQ69" s="800">
        <v>17.43</v>
      </c>
      <c r="AR69" s="802"/>
      <c r="AS69" s="802"/>
      <c r="AT69" s="408"/>
    </row>
    <row r="70" spans="2:46" ht="15" customHeight="1">
      <c r="B70" s="60"/>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62"/>
      <c r="AP70" s="551">
        <v>17.100000000000001</v>
      </c>
      <c r="AQ70" s="800">
        <v>17.54</v>
      </c>
      <c r="AR70" s="802"/>
      <c r="AS70" s="802"/>
      <c r="AT70" s="408"/>
    </row>
    <row r="71" spans="2:46" ht="15" customHeight="1">
      <c r="B71" s="60"/>
      <c r="C71" s="61"/>
      <c r="D71" s="61"/>
      <c r="E71" s="61"/>
      <c r="F71" s="61"/>
      <c r="G71" s="61"/>
      <c r="H71" s="61"/>
      <c r="I71" s="61"/>
      <c r="J71" s="61"/>
      <c r="K71" s="61"/>
      <c r="L71" s="61"/>
      <c r="M71" s="61"/>
      <c r="N71" s="61"/>
      <c r="O71" s="61"/>
      <c r="P71" s="61"/>
      <c r="Q71" s="61"/>
      <c r="R71" s="61"/>
      <c r="S71" s="61"/>
      <c r="T71" s="61"/>
      <c r="U71" s="61"/>
      <c r="V71" s="61"/>
      <c r="W71" s="61"/>
      <c r="X71" s="61"/>
      <c r="Y71" s="61"/>
      <c r="Z71" s="61"/>
      <c r="AA71" s="61"/>
      <c r="AB71" s="61"/>
      <c r="AC71" s="61"/>
      <c r="AD71" s="61"/>
      <c r="AE71" s="61"/>
      <c r="AF71" s="61"/>
      <c r="AG71" s="62"/>
      <c r="AP71" s="551">
        <v>17.2</v>
      </c>
      <c r="AQ71" s="800">
        <v>17.649999999999999</v>
      </c>
      <c r="AR71" s="802"/>
      <c r="AS71" s="802"/>
      <c r="AT71" s="408"/>
    </row>
    <row r="72" spans="2:46" ht="15" customHeight="1">
      <c r="B72" s="60"/>
      <c r="C72" s="61"/>
      <c r="D72" s="61"/>
      <c r="E72" s="61"/>
      <c r="F72" s="61"/>
      <c r="G72" s="61"/>
      <c r="H72" s="61"/>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2"/>
      <c r="AP72" s="551">
        <v>17.3</v>
      </c>
      <c r="AQ72" s="800">
        <v>17.760000000000002</v>
      </c>
      <c r="AR72" s="802"/>
      <c r="AS72" s="802"/>
      <c r="AT72" s="408"/>
    </row>
    <row r="73" spans="2:46" ht="1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2"/>
      <c r="AP73" s="551">
        <v>17.399999999999999</v>
      </c>
      <c r="AQ73" s="800">
        <v>17.87</v>
      </c>
      <c r="AR73" s="802"/>
      <c r="AS73" s="802"/>
      <c r="AT73" s="408"/>
    </row>
    <row r="74" spans="2:46" ht="15" customHeight="1">
      <c r="B74" s="61"/>
      <c r="C74" s="150"/>
      <c r="D74" s="152"/>
      <c r="E74" s="61"/>
      <c r="F74" s="61"/>
      <c r="G74" s="61"/>
      <c r="H74" s="61"/>
      <c r="I74" s="61"/>
      <c r="AP74" s="551">
        <v>17.5</v>
      </c>
      <c r="AQ74" s="800">
        <v>17.97</v>
      </c>
      <c r="AR74" s="802"/>
      <c r="AS74" s="802"/>
      <c r="AT74" s="408"/>
    </row>
    <row r="75" spans="2:46" ht="15" customHeight="1">
      <c r="B75" s="61"/>
      <c r="C75" s="150"/>
      <c r="D75" s="152"/>
      <c r="E75" s="61"/>
      <c r="F75" s="61"/>
      <c r="G75" s="61"/>
      <c r="H75" s="61"/>
      <c r="I75" s="61"/>
      <c r="AP75" s="551">
        <v>17.600000000000001</v>
      </c>
      <c r="AQ75" s="800">
        <v>18.079999999999998</v>
      </c>
      <c r="AR75" s="802"/>
      <c r="AS75" s="802"/>
      <c r="AT75" s="408"/>
    </row>
    <row r="76" spans="2:46" ht="15" customHeight="1">
      <c r="B76" s="61"/>
      <c r="C76" s="150"/>
      <c r="D76" s="152"/>
      <c r="E76" s="61"/>
      <c r="F76" s="61"/>
      <c r="G76" s="61"/>
      <c r="H76" s="61"/>
      <c r="I76" s="61"/>
      <c r="AP76" s="551">
        <v>17.7</v>
      </c>
      <c r="AQ76" s="800">
        <v>18.190000000000001</v>
      </c>
      <c r="AR76" s="802"/>
      <c r="AS76" s="802"/>
      <c r="AT76" s="408"/>
    </row>
    <row r="77" spans="2:46" ht="15" customHeight="1">
      <c r="B77" s="61"/>
      <c r="C77" s="150"/>
      <c r="D77" s="152"/>
      <c r="E77" s="61"/>
      <c r="F77" s="61"/>
      <c r="G77" s="61"/>
      <c r="H77" s="61"/>
      <c r="I77" s="61"/>
      <c r="AP77" s="551">
        <v>17.8</v>
      </c>
      <c r="AQ77" s="800">
        <v>18.309999999999999</v>
      </c>
      <c r="AR77" s="802"/>
      <c r="AS77" s="802"/>
      <c r="AT77" s="408"/>
    </row>
    <row r="78" spans="2:46" ht="15" customHeight="1">
      <c r="B78" s="61"/>
      <c r="C78" s="150"/>
      <c r="D78" s="152"/>
      <c r="E78" s="61"/>
      <c r="F78" s="61"/>
      <c r="G78" s="61"/>
      <c r="H78" s="61"/>
      <c r="I78" s="61"/>
      <c r="AP78" s="551">
        <v>17.899999999999999</v>
      </c>
      <c r="AQ78" s="800">
        <v>18.43</v>
      </c>
      <c r="AR78" s="802"/>
      <c r="AS78" s="802"/>
      <c r="AT78" s="408"/>
    </row>
    <row r="79" spans="2:46" ht="15" customHeight="1">
      <c r="B79" s="61"/>
      <c r="C79" s="150"/>
      <c r="D79" s="152"/>
      <c r="E79" s="61"/>
      <c r="F79" s="61"/>
      <c r="G79" s="61"/>
      <c r="H79" s="61"/>
      <c r="I79" s="61"/>
      <c r="AP79" s="551">
        <v>18</v>
      </c>
      <c r="AQ79" s="800">
        <v>18.53</v>
      </c>
      <c r="AR79" s="802"/>
      <c r="AS79" s="802"/>
      <c r="AT79" s="408"/>
    </row>
    <row r="80" spans="2:46" ht="15" customHeight="1">
      <c r="B80" s="61"/>
      <c r="C80" s="150"/>
      <c r="D80" s="152"/>
      <c r="E80" s="61"/>
      <c r="F80" s="61"/>
      <c r="G80" s="61"/>
      <c r="H80" s="61"/>
      <c r="I80" s="61"/>
      <c r="AP80" s="551">
        <v>18.100000000000001</v>
      </c>
      <c r="AQ80" s="800">
        <v>18.64</v>
      </c>
      <c r="AR80" s="802"/>
      <c r="AS80" s="802"/>
      <c r="AT80" s="408"/>
    </row>
    <row r="81" spans="2:46" ht="15" customHeight="1">
      <c r="B81" s="61"/>
      <c r="C81" s="150"/>
      <c r="D81" s="152"/>
      <c r="E81" s="61"/>
      <c r="F81" s="61"/>
      <c r="G81" s="61"/>
      <c r="H81" s="61"/>
      <c r="I81" s="61"/>
      <c r="AP81" s="551">
        <v>18.2</v>
      </c>
      <c r="AQ81" s="800">
        <v>18.75</v>
      </c>
      <c r="AR81" s="802"/>
      <c r="AS81" s="802"/>
      <c r="AT81" s="408"/>
    </row>
    <row r="82" spans="2:46" ht="15" customHeight="1">
      <c r="B82" s="61"/>
      <c r="C82" s="150"/>
      <c r="D82" s="152"/>
      <c r="E82" s="61"/>
      <c r="F82" s="61"/>
      <c r="G82" s="61"/>
      <c r="H82" s="61"/>
      <c r="I82" s="61"/>
      <c r="AP82" s="551">
        <v>18.3</v>
      </c>
      <c r="AQ82" s="800">
        <v>18.86</v>
      </c>
      <c r="AR82" s="802"/>
      <c r="AS82" s="802"/>
      <c r="AT82" s="408"/>
    </row>
    <row r="83" spans="2:46" ht="15" customHeight="1">
      <c r="B83" s="61"/>
      <c r="C83" s="150"/>
      <c r="D83" s="152"/>
      <c r="E83" s="61"/>
      <c r="F83" s="61"/>
      <c r="G83" s="61"/>
      <c r="H83" s="61"/>
      <c r="I83" s="61"/>
      <c r="AP83" s="551">
        <v>18.399999999999999</v>
      </c>
      <c r="AQ83" s="800">
        <v>18.97</v>
      </c>
      <c r="AR83" s="802"/>
      <c r="AS83" s="802"/>
      <c r="AT83" s="408"/>
    </row>
    <row r="84" spans="2:46" ht="15" customHeight="1">
      <c r="B84" s="61"/>
      <c r="C84" s="150"/>
      <c r="D84" s="152"/>
      <c r="E84" s="61"/>
      <c r="F84" s="61"/>
      <c r="G84" s="61"/>
      <c r="H84" s="61"/>
      <c r="I84" s="61"/>
      <c r="AP84" s="551">
        <v>18.5</v>
      </c>
      <c r="AQ84" s="800">
        <v>19.079999999999998</v>
      </c>
      <c r="AR84" s="802"/>
      <c r="AS84" s="802"/>
      <c r="AT84" s="408"/>
    </row>
    <row r="85" spans="2:46" ht="15" customHeight="1">
      <c r="B85" s="61"/>
      <c r="C85" s="150"/>
      <c r="D85" s="152"/>
      <c r="E85" s="61"/>
      <c r="F85" s="61"/>
      <c r="G85" s="61"/>
      <c r="H85" s="61"/>
      <c r="I85" s="61"/>
      <c r="AP85" s="551">
        <v>18.600000000000001</v>
      </c>
      <c r="AQ85" s="800">
        <v>19.190000000000001</v>
      </c>
      <c r="AR85" s="802"/>
      <c r="AS85" s="802"/>
      <c r="AT85" s="408"/>
    </row>
    <row r="86" spans="2:46" ht="15" customHeight="1">
      <c r="B86" s="61"/>
      <c r="C86" s="150"/>
      <c r="D86" s="152"/>
      <c r="E86" s="61"/>
      <c r="F86" s="61"/>
      <c r="G86" s="61"/>
      <c r="H86" s="61"/>
      <c r="I86" s="61"/>
      <c r="AP86" s="551">
        <v>18.7</v>
      </c>
      <c r="AQ86" s="800">
        <v>19.309999999999999</v>
      </c>
      <c r="AR86" s="802"/>
      <c r="AS86" s="802"/>
      <c r="AT86" s="408"/>
    </row>
    <row r="87" spans="2:46" ht="15" customHeight="1">
      <c r="B87" s="61"/>
      <c r="C87" s="150"/>
      <c r="D87" s="152"/>
      <c r="E87" s="61"/>
      <c r="F87" s="61"/>
      <c r="G87" s="61"/>
      <c r="H87" s="61"/>
      <c r="I87" s="61"/>
      <c r="AP87" s="551">
        <v>18.8</v>
      </c>
      <c r="AQ87" s="800">
        <v>19.420000000000002</v>
      </c>
      <c r="AR87" s="802"/>
      <c r="AS87" s="802"/>
      <c r="AT87" s="408"/>
    </row>
    <row r="88" spans="2:46" ht="15" customHeight="1">
      <c r="B88" s="61"/>
      <c r="C88" s="150"/>
      <c r="D88" s="152"/>
      <c r="E88" s="61"/>
      <c r="F88" s="61"/>
      <c r="G88" s="61"/>
      <c r="H88" s="61"/>
      <c r="I88" s="61"/>
      <c r="AP88" s="551">
        <v>18.899999999999999</v>
      </c>
      <c r="AQ88" s="800">
        <v>19.53</v>
      </c>
      <c r="AR88" s="802"/>
      <c r="AS88" s="802"/>
      <c r="AT88" s="408"/>
    </row>
    <row r="89" spans="2:46" ht="15" customHeight="1">
      <c r="B89" s="61"/>
      <c r="C89" s="150"/>
      <c r="D89" s="152"/>
      <c r="E89" s="61"/>
      <c r="F89" s="61"/>
      <c r="G89" s="61"/>
      <c r="H89" s="61"/>
      <c r="I89" s="61"/>
      <c r="AP89" s="551">
        <v>19</v>
      </c>
      <c r="AQ89" s="800">
        <v>19.64</v>
      </c>
      <c r="AR89" s="802"/>
      <c r="AS89" s="802"/>
      <c r="AT89" s="408"/>
    </row>
    <row r="90" spans="2:46" ht="15" customHeight="1">
      <c r="B90" s="61"/>
      <c r="C90" s="150"/>
      <c r="D90" s="152"/>
      <c r="E90" s="61"/>
      <c r="F90" s="61"/>
      <c r="G90" s="61"/>
      <c r="H90" s="61"/>
      <c r="I90" s="61"/>
      <c r="AP90" s="551">
        <v>19.100000000000001</v>
      </c>
      <c r="AQ90" s="800">
        <v>19.75</v>
      </c>
      <c r="AR90" s="802"/>
      <c r="AS90" s="802"/>
      <c r="AT90" s="408"/>
    </row>
    <row r="91" spans="2:46" ht="15" customHeight="1">
      <c r="B91" s="61"/>
      <c r="C91" s="150"/>
      <c r="D91" s="152"/>
      <c r="E91" s="61"/>
      <c r="F91" s="61"/>
      <c r="G91" s="61"/>
      <c r="H91" s="61"/>
      <c r="I91" s="61"/>
      <c r="AP91" s="551">
        <v>19.2</v>
      </c>
      <c r="AQ91" s="800">
        <v>19.86</v>
      </c>
      <c r="AR91" s="802"/>
      <c r="AS91" s="802"/>
      <c r="AT91" s="408"/>
    </row>
    <row r="92" spans="2:46" ht="15" customHeight="1">
      <c r="B92" s="61"/>
      <c r="C92" s="150"/>
      <c r="D92" s="152"/>
      <c r="E92" s="61"/>
      <c r="F92" s="61"/>
      <c r="G92" s="61"/>
      <c r="H92" s="61"/>
      <c r="I92" s="61"/>
      <c r="AP92" s="551">
        <v>19.3</v>
      </c>
      <c r="AQ92" s="800">
        <v>19.97</v>
      </c>
      <c r="AR92" s="802"/>
      <c r="AS92" s="802"/>
      <c r="AT92" s="408"/>
    </row>
    <row r="93" spans="2:46" ht="15" customHeight="1">
      <c r="B93" s="61"/>
      <c r="C93" s="61"/>
      <c r="D93" s="61"/>
      <c r="E93" s="61"/>
      <c r="F93" s="61"/>
      <c r="G93" s="61"/>
      <c r="H93" s="61"/>
      <c r="I93" s="61"/>
      <c r="AP93" s="551">
        <v>19.399999999999999</v>
      </c>
      <c r="AQ93" s="800">
        <v>20.079999999999998</v>
      </c>
      <c r="AR93" s="802"/>
      <c r="AS93" s="802"/>
      <c r="AT93" s="408"/>
    </row>
    <row r="94" spans="2:46" ht="15" customHeight="1">
      <c r="B94" s="61"/>
      <c r="C94" s="61"/>
      <c r="D94" s="61"/>
      <c r="E94" s="61"/>
      <c r="F94" s="61"/>
      <c r="G94" s="61"/>
      <c r="H94" s="61"/>
      <c r="I94" s="61"/>
      <c r="AP94" s="551">
        <v>19.5</v>
      </c>
      <c r="AQ94" s="800">
        <v>20.2</v>
      </c>
      <c r="AR94" s="802"/>
      <c r="AS94" s="802"/>
      <c r="AT94" s="408"/>
    </row>
    <row r="95" spans="2:46" ht="15" customHeight="1">
      <c r="B95" s="61"/>
      <c r="C95" s="61"/>
      <c r="D95" s="61"/>
      <c r="E95" s="61"/>
      <c r="F95" s="61"/>
      <c r="G95" s="61"/>
      <c r="H95" s="61"/>
      <c r="I95" s="61"/>
      <c r="AP95" s="551">
        <v>19.600000000000001</v>
      </c>
      <c r="AQ95" s="800">
        <v>20.309999999999999</v>
      </c>
      <c r="AR95" s="802"/>
      <c r="AS95" s="802"/>
      <c r="AT95" s="408"/>
    </row>
    <row r="96" spans="2:46" ht="15" hidden="1" customHeight="1">
      <c r="B96" s="61"/>
      <c r="C96" s="820">
        <v>0</v>
      </c>
      <c r="D96" s="821">
        <v>5</v>
      </c>
      <c r="E96" s="821">
        <v>7</v>
      </c>
      <c r="F96" s="821">
        <v>10</v>
      </c>
      <c r="G96" s="821">
        <v>12</v>
      </c>
      <c r="H96" s="821">
        <v>14</v>
      </c>
      <c r="I96" s="821">
        <v>16</v>
      </c>
      <c r="J96" s="821">
        <v>18</v>
      </c>
      <c r="K96" s="821">
        <v>20</v>
      </c>
      <c r="L96" s="821">
        <v>22</v>
      </c>
      <c r="M96" s="821">
        <v>24</v>
      </c>
      <c r="N96" s="821">
        <v>26</v>
      </c>
      <c r="O96" s="821">
        <v>28</v>
      </c>
      <c r="P96" s="821">
        <v>30</v>
      </c>
      <c r="Q96" s="821">
        <v>35</v>
      </c>
      <c r="R96" s="821">
        <v>40</v>
      </c>
      <c r="S96" s="821">
        <v>45</v>
      </c>
      <c r="T96" s="821">
        <v>50</v>
      </c>
      <c r="U96" s="821">
        <v>55</v>
      </c>
      <c r="V96" s="821">
        <v>60</v>
      </c>
      <c r="W96" s="822">
        <v>70</v>
      </c>
      <c r="AP96" s="551">
        <v>19.7</v>
      </c>
      <c r="AQ96" s="800">
        <v>20.420000000000002</v>
      </c>
      <c r="AR96" s="802"/>
      <c r="AS96" s="802"/>
      <c r="AT96" s="408"/>
    </row>
    <row r="97" spans="2:46" ht="15" hidden="1" customHeight="1">
      <c r="B97" s="61"/>
      <c r="C97" s="814">
        <v>0.4</v>
      </c>
      <c r="D97" s="815">
        <v>0.5</v>
      </c>
      <c r="E97" s="815">
        <v>0.5</v>
      </c>
      <c r="F97" s="815">
        <v>0.4</v>
      </c>
      <c r="G97" s="815">
        <v>0.3</v>
      </c>
      <c r="H97" s="815">
        <v>0.3</v>
      </c>
      <c r="I97" s="815">
        <v>0.2</v>
      </c>
      <c r="J97" s="815">
        <v>0.1</v>
      </c>
      <c r="K97" s="815">
        <v>0</v>
      </c>
      <c r="L97" s="815">
        <v>-0.1</v>
      </c>
      <c r="M97" s="815">
        <v>-0.2</v>
      </c>
      <c r="N97" s="815">
        <v>-0.4</v>
      </c>
      <c r="O97" s="815">
        <v>-0.5</v>
      </c>
      <c r="P97" s="815">
        <v>-0.7</v>
      </c>
      <c r="Q97" s="815">
        <v>-1.1000000000000001</v>
      </c>
      <c r="R97" s="815">
        <v>-1.5</v>
      </c>
      <c r="S97" s="815">
        <v>-2.1</v>
      </c>
      <c r="T97" s="815">
        <v>-2.6</v>
      </c>
      <c r="U97" s="815">
        <v>-3.3</v>
      </c>
      <c r="V97" s="815">
        <v>-3.9</v>
      </c>
      <c r="W97" s="816">
        <v>-4.5999999999999996</v>
      </c>
      <c r="AP97" s="551">
        <v>19.8</v>
      </c>
      <c r="AQ97" s="800">
        <v>20.53</v>
      </c>
      <c r="AR97" s="802"/>
      <c r="AS97" s="802"/>
      <c r="AT97" s="408"/>
    </row>
    <row r="98" spans="2:46" ht="15" hidden="1" customHeight="1">
      <c r="B98" s="61"/>
      <c r="C98" s="814">
        <v>1.5</v>
      </c>
      <c r="D98" s="815">
        <v>1.5</v>
      </c>
      <c r="E98" s="815">
        <v>1.5</v>
      </c>
      <c r="F98" s="815">
        <v>1.4</v>
      </c>
      <c r="G98" s="815">
        <v>1.3</v>
      </c>
      <c r="H98" s="815">
        <v>1.3</v>
      </c>
      <c r="I98" s="815">
        <v>1.2</v>
      </c>
      <c r="J98" s="815">
        <v>1.1000000000000001</v>
      </c>
      <c r="K98" s="815">
        <v>1</v>
      </c>
      <c r="L98" s="815">
        <v>0.9</v>
      </c>
      <c r="M98" s="815">
        <v>0.8</v>
      </c>
      <c r="N98" s="815">
        <v>0.6</v>
      </c>
      <c r="O98" s="815">
        <v>0.5</v>
      </c>
      <c r="P98" s="815">
        <v>0.3</v>
      </c>
      <c r="Q98" s="815">
        <v>-0.1</v>
      </c>
      <c r="R98" s="815">
        <v>-0.7</v>
      </c>
      <c r="S98" s="815">
        <v>-1.3</v>
      </c>
      <c r="T98" s="815">
        <v>-1.8</v>
      </c>
      <c r="U98" s="815">
        <v>-2.4</v>
      </c>
      <c r="V98" s="815">
        <v>-2.9</v>
      </c>
      <c r="W98" s="816">
        <v>-3.6</v>
      </c>
      <c r="AP98" s="551">
        <v>19.899999999999999</v>
      </c>
      <c r="AQ98" s="800">
        <v>20.64</v>
      </c>
      <c r="AR98" s="802"/>
      <c r="AS98" s="802"/>
      <c r="AT98" s="408"/>
    </row>
    <row r="99" spans="2:46" ht="15" hidden="1" customHeight="1">
      <c r="B99" s="61"/>
      <c r="C99" s="814">
        <v>2</v>
      </c>
      <c r="D99" s="815">
        <v>2</v>
      </c>
      <c r="E99" s="815">
        <v>2</v>
      </c>
      <c r="F99" s="815">
        <v>1.9</v>
      </c>
      <c r="G99" s="815">
        <v>1.8</v>
      </c>
      <c r="H99" s="815">
        <v>1.8</v>
      </c>
      <c r="I99" s="815">
        <v>1.7</v>
      </c>
      <c r="J99" s="815">
        <v>1.6</v>
      </c>
      <c r="K99" s="815">
        <v>1.5</v>
      </c>
      <c r="L99" s="815">
        <v>1.4</v>
      </c>
      <c r="M99" s="815">
        <v>1.3</v>
      </c>
      <c r="N99" s="815">
        <v>1.1000000000000001</v>
      </c>
      <c r="O99" s="815">
        <v>1</v>
      </c>
      <c r="P99" s="815">
        <v>0.8</v>
      </c>
      <c r="Q99" s="815">
        <v>0.3</v>
      </c>
      <c r="R99" s="815">
        <v>-0.2</v>
      </c>
      <c r="S99" s="815">
        <v>-0.8</v>
      </c>
      <c r="T99" s="815">
        <v>-1.3</v>
      </c>
      <c r="U99" s="815">
        <v>-1.9</v>
      </c>
      <c r="V99" s="815">
        <v>-2.4</v>
      </c>
      <c r="W99" s="816">
        <v>-3.1</v>
      </c>
      <c r="AP99" s="553">
        <v>20</v>
      </c>
      <c r="AQ99" s="801">
        <v>20.76</v>
      </c>
      <c r="AR99" s="237"/>
      <c r="AS99" s="237"/>
      <c r="AT99" s="412"/>
    </row>
    <row r="100" spans="2:46" ht="15" hidden="1" customHeight="1">
      <c r="B100" s="61"/>
      <c r="C100" s="814">
        <v>2.5</v>
      </c>
      <c r="D100" s="815">
        <v>2.5</v>
      </c>
      <c r="E100" s="815">
        <v>2.5</v>
      </c>
      <c r="F100" s="815">
        <v>2.4</v>
      </c>
      <c r="G100" s="815">
        <v>2.2999999999999998</v>
      </c>
      <c r="H100" s="815">
        <v>2.2999999999999998</v>
      </c>
      <c r="I100" s="815">
        <v>2.2000000000000002</v>
      </c>
      <c r="J100" s="815">
        <v>2.1</v>
      </c>
      <c r="K100" s="815">
        <v>2</v>
      </c>
      <c r="L100" s="815">
        <v>1.9</v>
      </c>
      <c r="M100" s="815">
        <v>1.8</v>
      </c>
      <c r="N100" s="815">
        <v>1.6</v>
      </c>
      <c r="O100" s="815">
        <v>1.5</v>
      </c>
      <c r="P100" s="815">
        <v>1.3</v>
      </c>
      <c r="Q100" s="815">
        <v>0.8</v>
      </c>
      <c r="R100" s="815">
        <v>0.2</v>
      </c>
      <c r="S100" s="815">
        <v>-0.4</v>
      </c>
      <c r="T100" s="815">
        <v>-0.9</v>
      </c>
      <c r="U100" s="815">
        <v>-1.4</v>
      </c>
      <c r="V100" s="815">
        <v>-1.9</v>
      </c>
      <c r="W100" s="816">
        <v>-2.6</v>
      </c>
    </row>
    <row r="101" spans="2:46" ht="15" hidden="1" customHeight="1">
      <c r="B101" s="61"/>
      <c r="C101" s="814">
        <v>2.7</v>
      </c>
      <c r="D101" s="815">
        <v>2.7</v>
      </c>
      <c r="E101" s="815">
        <v>2.7</v>
      </c>
      <c r="F101" s="815">
        <v>2.6</v>
      </c>
      <c r="G101" s="815">
        <v>2.6</v>
      </c>
      <c r="H101" s="815">
        <v>2.5</v>
      </c>
      <c r="I101" s="815">
        <v>2.4</v>
      </c>
      <c r="J101" s="815">
        <v>2.2999999999999998</v>
      </c>
      <c r="K101" s="815">
        <v>2.2000000000000002</v>
      </c>
      <c r="L101" s="815">
        <v>2.1</v>
      </c>
      <c r="M101" s="815">
        <v>2</v>
      </c>
      <c r="N101" s="815">
        <v>1.8</v>
      </c>
      <c r="O101" s="815">
        <v>1.7</v>
      </c>
      <c r="P101" s="815">
        <v>1.5</v>
      </c>
      <c r="Q101" s="815">
        <v>1</v>
      </c>
      <c r="R101" s="815">
        <v>0.4</v>
      </c>
      <c r="S101" s="815">
        <v>-0.2</v>
      </c>
      <c r="T101" s="815">
        <v>-0.7</v>
      </c>
      <c r="U101" s="815">
        <v>-1.2</v>
      </c>
      <c r="V101" s="815">
        <v>-1.7</v>
      </c>
      <c r="W101" s="816">
        <v>-2.4</v>
      </c>
    </row>
    <row r="102" spans="2:46" ht="15" hidden="1" customHeight="1">
      <c r="B102" s="61"/>
      <c r="C102" s="814">
        <v>2.9</v>
      </c>
      <c r="D102" s="815">
        <v>2.9</v>
      </c>
      <c r="E102" s="815">
        <v>2.9</v>
      </c>
      <c r="F102" s="815">
        <v>2.8</v>
      </c>
      <c r="G102" s="815">
        <v>2.8</v>
      </c>
      <c r="H102" s="815">
        <v>2.7</v>
      </c>
      <c r="I102" s="815">
        <v>2.6</v>
      </c>
      <c r="J102" s="815">
        <v>2.5</v>
      </c>
      <c r="K102" s="815">
        <v>2.4</v>
      </c>
      <c r="L102" s="815">
        <v>2.2999999999999998</v>
      </c>
      <c r="M102" s="815">
        <v>2.2000000000000002</v>
      </c>
      <c r="N102" s="815">
        <v>2</v>
      </c>
      <c r="O102" s="815">
        <v>1.9</v>
      </c>
      <c r="P102" s="815">
        <v>1.7</v>
      </c>
      <c r="Q102" s="815">
        <v>1.2</v>
      </c>
      <c r="R102" s="815">
        <v>0.6</v>
      </c>
      <c r="S102" s="815">
        <v>0.1</v>
      </c>
      <c r="T102" s="815">
        <v>-0.4</v>
      </c>
      <c r="U102" s="815">
        <v>-1</v>
      </c>
      <c r="V102" s="815">
        <v>-1.5</v>
      </c>
      <c r="W102" s="816">
        <v>-2.2000000000000002</v>
      </c>
    </row>
    <row r="103" spans="2:46" ht="15" hidden="1" customHeight="1">
      <c r="B103" s="61"/>
      <c r="C103" s="814">
        <v>3.1</v>
      </c>
      <c r="D103" s="815">
        <v>3.1</v>
      </c>
      <c r="E103" s="815">
        <v>3.1</v>
      </c>
      <c r="F103" s="815">
        <v>3</v>
      </c>
      <c r="G103" s="815">
        <v>3</v>
      </c>
      <c r="H103" s="815">
        <v>2.9</v>
      </c>
      <c r="I103" s="815">
        <v>2.8</v>
      </c>
      <c r="J103" s="815">
        <v>2.7</v>
      </c>
      <c r="K103" s="815">
        <v>2.6</v>
      </c>
      <c r="L103" s="815">
        <v>2.5</v>
      </c>
      <c r="M103" s="815">
        <v>2.4</v>
      </c>
      <c r="N103" s="815">
        <v>2.2000000000000002</v>
      </c>
      <c r="O103" s="815">
        <v>2.1</v>
      </c>
      <c r="P103" s="815">
        <v>1.9</v>
      </c>
      <c r="Q103" s="815">
        <v>1.4</v>
      </c>
      <c r="R103" s="815">
        <v>0.9</v>
      </c>
      <c r="S103" s="815">
        <v>0.4</v>
      </c>
      <c r="T103" s="815">
        <v>-0.2</v>
      </c>
      <c r="U103" s="815">
        <v>-0.8</v>
      </c>
      <c r="V103" s="815">
        <v>-1.3</v>
      </c>
      <c r="W103" s="816">
        <v>-2</v>
      </c>
    </row>
    <row r="104" spans="2:46" ht="15" hidden="1" customHeight="1">
      <c r="B104" s="61"/>
      <c r="C104" s="814">
        <v>3.3</v>
      </c>
      <c r="D104" s="815">
        <v>3.3</v>
      </c>
      <c r="E104" s="815">
        <v>3.3</v>
      </c>
      <c r="F104" s="815">
        <v>3.2</v>
      </c>
      <c r="G104" s="815">
        <v>3.2</v>
      </c>
      <c r="H104" s="815">
        <v>3.1</v>
      </c>
      <c r="I104" s="815">
        <v>3</v>
      </c>
      <c r="J104" s="815">
        <v>2.9</v>
      </c>
      <c r="K104" s="815">
        <v>2.8</v>
      </c>
      <c r="L104" s="815">
        <v>2.7</v>
      </c>
      <c r="M104" s="815">
        <v>2.6</v>
      </c>
      <c r="N104" s="815">
        <v>2.4</v>
      </c>
      <c r="O104" s="815">
        <v>2.2999999999999998</v>
      </c>
      <c r="P104" s="815">
        <v>2.1</v>
      </c>
      <c r="Q104" s="815">
        <v>1.6</v>
      </c>
      <c r="R104" s="815">
        <v>1.1000000000000001</v>
      </c>
      <c r="S104" s="815">
        <v>0.6</v>
      </c>
      <c r="T104" s="815">
        <v>0</v>
      </c>
      <c r="U104" s="815">
        <v>-0.6</v>
      </c>
      <c r="V104" s="815">
        <v>-1.2</v>
      </c>
      <c r="W104" s="816">
        <v>-1.9</v>
      </c>
    </row>
    <row r="105" spans="2:46" ht="15" hidden="1" customHeight="1">
      <c r="B105" s="61"/>
      <c r="C105" s="814">
        <v>3.5</v>
      </c>
      <c r="D105" s="815">
        <v>3.5</v>
      </c>
      <c r="E105" s="815">
        <v>3.5</v>
      </c>
      <c r="F105" s="815">
        <v>3.4</v>
      </c>
      <c r="G105" s="815">
        <v>3.4</v>
      </c>
      <c r="H105" s="815">
        <v>3.3</v>
      </c>
      <c r="I105" s="815">
        <v>3.2</v>
      </c>
      <c r="J105" s="815">
        <v>3.1</v>
      </c>
      <c r="K105" s="815">
        <v>3</v>
      </c>
      <c r="L105" s="815">
        <v>2.9</v>
      </c>
      <c r="M105" s="815">
        <v>2.8</v>
      </c>
      <c r="N105" s="815">
        <v>2.6</v>
      </c>
      <c r="O105" s="815">
        <v>2.5</v>
      </c>
      <c r="P105" s="815">
        <v>2.2999999999999998</v>
      </c>
      <c r="Q105" s="815">
        <v>1.8</v>
      </c>
      <c r="R105" s="815">
        <v>1.3</v>
      </c>
      <c r="S105" s="815">
        <v>0.8</v>
      </c>
      <c r="T105" s="815">
        <v>0.2</v>
      </c>
      <c r="U105" s="815">
        <v>-0.4</v>
      </c>
      <c r="V105" s="815">
        <v>-1</v>
      </c>
      <c r="W105" s="816">
        <v>-1.7</v>
      </c>
    </row>
    <row r="106" spans="2:46" ht="15" hidden="1" customHeight="1">
      <c r="B106" s="61"/>
      <c r="C106" s="814">
        <v>3.8</v>
      </c>
      <c r="D106" s="815">
        <v>3.7</v>
      </c>
      <c r="E106" s="815">
        <v>3.7</v>
      </c>
      <c r="F106" s="815">
        <v>3.7</v>
      </c>
      <c r="G106" s="815">
        <v>3.6</v>
      </c>
      <c r="H106" s="815">
        <v>3.5</v>
      </c>
      <c r="I106" s="815">
        <v>3.4</v>
      </c>
      <c r="J106" s="815">
        <v>3.3</v>
      </c>
      <c r="K106" s="815">
        <v>3.2</v>
      </c>
      <c r="L106" s="815">
        <v>3.1</v>
      </c>
      <c r="M106" s="815">
        <v>3</v>
      </c>
      <c r="N106" s="815">
        <v>2.8</v>
      </c>
      <c r="O106" s="815">
        <v>2.7</v>
      </c>
      <c r="P106" s="815">
        <v>2.5</v>
      </c>
      <c r="Q106" s="815">
        <v>2</v>
      </c>
      <c r="R106" s="815">
        <v>1.5</v>
      </c>
      <c r="S106" s="815">
        <v>1</v>
      </c>
      <c r="T106" s="815">
        <v>0.4</v>
      </c>
      <c r="U106" s="815">
        <v>-0.2</v>
      </c>
      <c r="V106" s="815">
        <v>-0.8</v>
      </c>
      <c r="W106" s="816">
        <v>-1.5</v>
      </c>
    </row>
    <row r="107" spans="2:46" ht="15" hidden="1" customHeight="1">
      <c r="B107" s="61"/>
      <c r="C107" s="814">
        <v>4</v>
      </c>
      <c r="D107" s="815">
        <v>3.9</v>
      </c>
      <c r="E107" s="815">
        <v>3.9</v>
      </c>
      <c r="F107" s="815">
        <v>3.9</v>
      </c>
      <c r="G107" s="815">
        <v>3.8</v>
      </c>
      <c r="H107" s="815">
        <v>3.7</v>
      </c>
      <c r="I107" s="815">
        <v>3.6</v>
      </c>
      <c r="J107" s="815">
        <v>3.5</v>
      </c>
      <c r="K107" s="815">
        <v>3.4</v>
      </c>
      <c r="L107" s="815">
        <v>3.3</v>
      </c>
      <c r="M107" s="815">
        <v>3.2</v>
      </c>
      <c r="N107" s="815">
        <v>3</v>
      </c>
      <c r="O107" s="815">
        <v>2.9</v>
      </c>
      <c r="P107" s="815">
        <v>2.7</v>
      </c>
      <c r="Q107" s="815">
        <v>2.2000000000000002</v>
      </c>
      <c r="R107" s="815">
        <v>1.7</v>
      </c>
      <c r="S107" s="815">
        <v>1.2</v>
      </c>
      <c r="T107" s="815">
        <v>0.6</v>
      </c>
      <c r="U107" s="815">
        <v>0</v>
      </c>
      <c r="V107" s="815">
        <v>-0.6</v>
      </c>
      <c r="W107" s="816">
        <v>-1.3</v>
      </c>
    </row>
    <row r="108" spans="2:46" ht="15" hidden="1" customHeight="1">
      <c r="B108" s="61"/>
      <c r="C108" s="814">
        <v>4.2</v>
      </c>
      <c r="D108" s="815">
        <v>4.0999999999999996</v>
      </c>
      <c r="E108" s="815">
        <v>4.0999999999999996</v>
      </c>
      <c r="F108" s="815">
        <v>4.0999999999999996</v>
      </c>
      <c r="G108" s="815">
        <v>4</v>
      </c>
      <c r="H108" s="815">
        <v>3.9</v>
      </c>
      <c r="I108" s="815">
        <v>3.8</v>
      </c>
      <c r="J108" s="815">
        <v>3.7</v>
      </c>
      <c r="K108" s="815">
        <v>3.6</v>
      </c>
      <c r="L108" s="815">
        <v>3.5</v>
      </c>
      <c r="M108" s="815">
        <v>3.4</v>
      </c>
      <c r="N108" s="815">
        <v>3.2</v>
      </c>
      <c r="O108" s="815">
        <v>3.1</v>
      </c>
      <c r="P108" s="815">
        <v>2.9</v>
      </c>
      <c r="Q108" s="815">
        <v>2.4</v>
      </c>
      <c r="R108" s="815">
        <v>2</v>
      </c>
      <c r="S108" s="815">
        <v>1.4</v>
      </c>
      <c r="T108" s="815">
        <v>0.8</v>
      </c>
      <c r="U108" s="815">
        <v>0.2</v>
      </c>
      <c r="V108" s="815">
        <v>-0.4</v>
      </c>
      <c r="W108" s="816">
        <v>-1.1000000000000001</v>
      </c>
    </row>
    <row r="109" spans="2:46" ht="15" hidden="1" customHeight="1">
      <c r="B109" s="61"/>
      <c r="C109" s="814">
        <v>4.4000000000000004</v>
      </c>
      <c r="D109" s="815">
        <v>4.3</v>
      </c>
      <c r="E109" s="815">
        <v>4.3</v>
      </c>
      <c r="F109" s="815">
        <v>4.3</v>
      </c>
      <c r="G109" s="815">
        <v>4.2</v>
      </c>
      <c r="H109" s="815">
        <v>4.0999999999999996</v>
      </c>
      <c r="I109" s="815">
        <v>4</v>
      </c>
      <c r="J109" s="815">
        <v>3.9</v>
      </c>
      <c r="K109" s="815">
        <v>3.8</v>
      </c>
      <c r="L109" s="815">
        <v>3.7</v>
      </c>
      <c r="M109" s="815">
        <v>3.6</v>
      </c>
      <c r="N109" s="815">
        <v>3.4</v>
      </c>
      <c r="O109" s="815">
        <v>3.3</v>
      </c>
      <c r="P109" s="815">
        <v>3.1</v>
      </c>
      <c r="Q109" s="815">
        <v>2.6</v>
      </c>
      <c r="R109" s="815">
        <v>2.2000000000000002</v>
      </c>
      <c r="S109" s="815">
        <v>1.6</v>
      </c>
      <c r="T109" s="815">
        <v>1</v>
      </c>
      <c r="U109" s="815">
        <v>0.4</v>
      </c>
      <c r="V109" s="815">
        <v>-0.2</v>
      </c>
      <c r="W109" s="816">
        <v>-0.9</v>
      </c>
    </row>
    <row r="110" spans="2:46" ht="15" hidden="1" customHeight="1">
      <c r="B110" s="61"/>
      <c r="C110" s="814">
        <v>4.5999999999999996</v>
      </c>
      <c r="D110" s="815">
        <v>4.5</v>
      </c>
      <c r="E110" s="815">
        <v>4.5</v>
      </c>
      <c r="F110" s="815">
        <v>4.5</v>
      </c>
      <c r="G110" s="815">
        <v>4.4000000000000004</v>
      </c>
      <c r="H110" s="815">
        <v>4.3</v>
      </c>
      <c r="I110" s="815">
        <v>4.2</v>
      </c>
      <c r="J110" s="815">
        <v>4.0999999999999996</v>
      </c>
      <c r="K110" s="815">
        <v>4</v>
      </c>
      <c r="L110" s="815">
        <v>3.9</v>
      </c>
      <c r="M110" s="815">
        <v>3.8</v>
      </c>
      <c r="N110" s="815">
        <v>3.6</v>
      </c>
      <c r="O110" s="815">
        <v>3.5</v>
      </c>
      <c r="P110" s="815">
        <v>3.3</v>
      </c>
      <c r="Q110" s="815">
        <v>2.8</v>
      </c>
      <c r="R110" s="815">
        <v>2.4</v>
      </c>
      <c r="S110" s="815">
        <v>1.8</v>
      </c>
      <c r="T110" s="815">
        <v>1.2</v>
      </c>
      <c r="U110" s="815">
        <v>0.6</v>
      </c>
      <c r="V110" s="815">
        <v>0</v>
      </c>
      <c r="W110" s="816">
        <v>-0.7</v>
      </c>
    </row>
    <row r="111" spans="2:46" ht="15" hidden="1" customHeight="1">
      <c r="B111" s="61"/>
      <c r="C111" s="814">
        <v>4.8</v>
      </c>
      <c r="D111" s="815">
        <v>4.7</v>
      </c>
      <c r="E111" s="815">
        <v>4.7</v>
      </c>
      <c r="F111" s="815">
        <v>4.7</v>
      </c>
      <c r="G111" s="815">
        <v>4.5999999999999996</v>
      </c>
      <c r="H111" s="815">
        <v>4.5</v>
      </c>
      <c r="I111" s="815">
        <v>4.4000000000000004</v>
      </c>
      <c r="J111" s="815">
        <v>4.3</v>
      </c>
      <c r="K111" s="815">
        <v>4.2</v>
      </c>
      <c r="L111" s="815">
        <v>4.0999999999999996</v>
      </c>
      <c r="M111" s="815">
        <v>4</v>
      </c>
      <c r="N111" s="815">
        <v>3.8</v>
      </c>
      <c r="O111" s="815">
        <v>3.7</v>
      </c>
      <c r="P111" s="815">
        <v>3.5</v>
      </c>
      <c r="Q111" s="815">
        <v>3.1</v>
      </c>
      <c r="R111" s="815">
        <v>2.6</v>
      </c>
      <c r="S111" s="815">
        <v>2</v>
      </c>
      <c r="T111" s="815">
        <v>1.4</v>
      </c>
      <c r="U111" s="815">
        <v>0.8</v>
      </c>
      <c r="V111" s="815">
        <v>0.2</v>
      </c>
      <c r="W111" s="816">
        <v>-0.5</v>
      </c>
    </row>
    <row r="112" spans="2:46" ht="15" hidden="1" customHeight="1">
      <c r="B112" s="61"/>
      <c r="C112" s="814">
        <v>5</v>
      </c>
      <c r="D112" s="815">
        <v>4.9000000000000004</v>
      </c>
      <c r="E112" s="815">
        <v>4.9000000000000004</v>
      </c>
      <c r="F112" s="815">
        <v>4.9000000000000004</v>
      </c>
      <c r="G112" s="815">
        <v>4.8</v>
      </c>
      <c r="H112" s="815">
        <v>4.7</v>
      </c>
      <c r="I112" s="815">
        <v>4.5999999999999996</v>
      </c>
      <c r="J112" s="815">
        <v>4.5</v>
      </c>
      <c r="K112" s="815">
        <v>4.4000000000000004</v>
      </c>
      <c r="L112" s="815">
        <v>4.3</v>
      </c>
      <c r="M112" s="815">
        <v>4.2</v>
      </c>
      <c r="N112" s="815">
        <v>4</v>
      </c>
      <c r="O112" s="815">
        <v>3.9</v>
      </c>
      <c r="P112" s="815">
        <v>3.7</v>
      </c>
      <c r="Q112" s="815">
        <v>3.3</v>
      </c>
      <c r="R112" s="815">
        <v>2.8</v>
      </c>
      <c r="S112" s="815">
        <v>2.2000000000000002</v>
      </c>
      <c r="T112" s="815">
        <v>1.6</v>
      </c>
      <c r="U112" s="815">
        <v>1</v>
      </c>
      <c r="V112" s="815">
        <v>0.4</v>
      </c>
      <c r="W112" s="816">
        <v>-0.3</v>
      </c>
    </row>
    <row r="113" spans="2:23" ht="15" hidden="1" customHeight="1">
      <c r="B113" s="61"/>
      <c r="C113" s="814">
        <v>5.2</v>
      </c>
      <c r="D113" s="815">
        <v>5.0999999999999996</v>
      </c>
      <c r="E113" s="815">
        <v>5.0999999999999996</v>
      </c>
      <c r="F113" s="815">
        <v>5.0999999999999996</v>
      </c>
      <c r="G113" s="815">
        <v>5</v>
      </c>
      <c r="H113" s="815">
        <v>4.9000000000000004</v>
      </c>
      <c r="I113" s="815">
        <v>4.8</v>
      </c>
      <c r="J113" s="815">
        <v>4.7</v>
      </c>
      <c r="K113" s="815">
        <v>4.5999999999999996</v>
      </c>
      <c r="L113" s="815">
        <v>4.5</v>
      </c>
      <c r="M113" s="815">
        <v>4.4000000000000004</v>
      </c>
      <c r="N113" s="815">
        <v>4.2</v>
      </c>
      <c r="O113" s="815">
        <v>4.0999999999999996</v>
      </c>
      <c r="P113" s="815">
        <v>3.9</v>
      </c>
      <c r="Q113" s="815">
        <v>3.5</v>
      </c>
      <c r="R113" s="815">
        <v>3</v>
      </c>
      <c r="S113" s="815">
        <v>2.4</v>
      </c>
      <c r="T113" s="815">
        <v>1.8</v>
      </c>
      <c r="U113" s="815">
        <v>1.2</v>
      </c>
      <c r="V113" s="815">
        <v>0.6</v>
      </c>
      <c r="W113" s="816">
        <v>-0.1</v>
      </c>
    </row>
    <row r="114" spans="2:23" ht="15" hidden="1" customHeight="1">
      <c r="B114" s="61"/>
      <c r="C114" s="814">
        <v>5.4</v>
      </c>
      <c r="D114" s="815">
        <v>5.3</v>
      </c>
      <c r="E114" s="815">
        <v>5.3</v>
      </c>
      <c r="F114" s="815">
        <v>5.3</v>
      </c>
      <c r="G114" s="815">
        <v>5.2</v>
      </c>
      <c r="H114" s="815">
        <v>5.0999999999999996</v>
      </c>
      <c r="I114" s="815">
        <v>5</v>
      </c>
      <c r="J114" s="815">
        <v>4.9000000000000004</v>
      </c>
      <c r="K114" s="815">
        <v>4.8</v>
      </c>
      <c r="L114" s="815">
        <v>4.7</v>
      </c>
      <c r="M114" s="815">
        <v>4.5999999999999996</v>
      </c>
      <c r="N114" s="815">
        <v>4.4000000000000004</v>
      </c>
      <c r="O114" s="815">
        <v>4.3</v>
      </c>
      <c r="P114" s="815">
        <v>4.0999999999999996</v>
      </c>
      <c r="Q114" s="815">
        <v>3.7</v>
      </c>
      <c r="R114" s="815">
        <v>3.3</v>
      </c>
      <c r="S114" s="815">
        <v>2.7</v>
      </c>
      <c r="T114" s="815">
        <v>2</v>
      </c>
      <c r="U114" s="815">
        <v>1.4</v>
      </c>
      <c r="V114" s="815">
        <v>0.8</v>
      </c>
      <c r="W114" s="816">
        <v>0.2</v>
      </c>
    </row>
    <row r="115" spans="2:23" ht="15" hidden="1" customHeight="1">
      <c r="B115" s="61"/>
      <c r="C115" s="814">
        <v>5.6</v>
      </c>
      <c r="D115" s="815">
        <v>5.5</v>
      </c>
      <c r="E115" s="815">
        <v>5.5</v>
      </c>
      <c r="F115" s="815">
        <v>5.5</v>
      </c>
      <c r="G115" s="815">
        <v>5.4</v>
      </c>
      <c r="H115" s="815">
        <v>5.3</v>
      </c>
      <c r="I115" s="815">
        <v>5.2</v>
      </c>
      <c r="J115" s="815">
        <v>5.0999999999999996</v>
      </c>
      <c r="K115" s="815">
        <v>5</v>
      </c>
      <c r="L115" s="815">
        <v>4.9000000000000004</v>
      </c>
      <c r="M115" s="815">
        <v>4.8</v>
      </c>
      <c r="N115" s="815">
        <v>4.5999999999999996</v>
      </c>
      <c r="O115" s="815">
        <v>4.5</v>
      </c>
      <c r="P115" s="815">
        <v>4.3</v>
      </c>
      <c r="Q115" s="815">
        <v>3.9</v>
      </c>
      <c r="R115" s="815">
        <v>3.5</v>
      </c>
      <c r="S115" s="815">
        <v>2.9</v>
      </c>
      <c r="T115" s="815">
        <v>2.2999999999999998</v>
      </c>
      <c r="U115" s="815">
        <v>1.7</v>
      </c>
      <c r="V115" s="815">
        <v>1</v>
      </c>
      <c r="W115" s="816">
        <v>0.4</v>
      </c>
    </row>
    <row r="116" spans="2:23" ht="15" hidden="1" customHeight="1">
      <c r="B116" s="61"/>
      <c r="C116" s="814">
        <v>6.1</v>
      </c>
      <c r="D116" s="815">
        <v>6.1</v>
      </c>
      <c r="E116" s="815">
        <v>6.1</v>
      </c>
      <c r="F116" s="815">
        <v>6</v>
      </c>
      <c r="G116" s="815">
        <v>5.9</v>
      </c>
      <c r="H116" s="815">
        <v>5.8</v>
      </c>
      <c r="I116" s="815">
        <v>5.7</v>
      </c>
      <c r="J116" s="815">
        <v>5.6</v>
      </c>
      <c r="K116" s="815">
        <v>5.5</v>
      </c>
      <c r="L116" s="815">
        <v>5.4</v>
      </c>
      <c r="M116" s="815">
        <v>5.3</v>
      </c>
      <c r="N116" s="815">
        <v>5.0999999999999996</v>
      </c>
      <c r="O116" s="815">
        <v>5</v>
      </c>
      <c r="P116" s="815">
        <v>4.8</v>
      </c>
      <c r="Q116" s="815">
        <v>4.4000000000000004</v>
      </c>
      <c r="R116" s="815">
        <v>4</v>
      </c>
      <c r="S116" s="815">
        <v>3.4</v>
      </c>
      <c r="T116" s="815">
        <v>2.8</v>
      </c>
      <c r="U116" s="815">
        <v>2.2000000000000002</v>
      </c>
      <c r="V116" s="815">
        <v>1.5</v>
      </c>
      <c r="W116" s="816">
        <v>0.9</v>
      </c>
    </row>
    <row r="117" spans="2:23" ht="15" hidden="1" customHeight="1">
      <c r="B117" s="61"/>
      <c r="C117" s="814">
        <v>6.7</v>
      </c>
      <c r="D117" s="815">
        <v>6.6</v>
      </c>
      <c r="E117" s="815">
        <v>6.6</v>
      </c>
      <c r="F117" s="815">
        <v>6.5</v>
      </c>
      <c r="G117" s="815">
        <v>6.4</v>
      </c>
      <c r="H117" s="815">
        <v>6.3</v>
      </c>
      <c r="I117" s="815">
        <v>6.2</v>
      </c>
      <c r="J117" s="815">
        <v>6.1</v>
      </c>
      <c r="K117" s="815">
        <v>6</v>
      </c>
      <c r="L117" s="815">
        <v>5.9</v>
      </c>
      <c r="M117" s="815">
        <v>5.8</v>
      </c>
      <c r="N117" s="815">
        <v>5.6</v>
      </c>
      <c r="O117" s="815">
        <v>5.5</v>
      </c>
      <c r="P117" s="815">
        <v>5.3</v>
      </c>
      <c r="Q117" s="815">
        <v>4.9000000000000004</v>
      </c>
      <c r="R117" s="815">
        <v>4.5</v>
      </c>
      <c r="S117" s="815">
        <v>3.9</v>
      </c>
      <c r="T117" s="815">
        <v>3.3</v>
      </c>
      <c r="U117" s="815">
        <v>2.7</v>
      </c>
      <c r="V117" s="815">
        <v>2</v>
      </c>
      <c r="W117" s="816">
        <v>1.4</v>
      </c>
    </row>
    <row r="118" spans="2:23" ht="15" hidden="1" customHeight="1">
      <c r="B118" s="61"/>
      <c r="C118" s="814">
        <v>7.2</v>
      </c>
      <c r="D118" s="815">
        <v>7.1</v>
      </c>
      <c r="E118" s="815">
        <v>7.1</v>
      </c>
      <c r="F118" s="815">
        <v>7</v>
      </c>
      <c r="G118" s="815">
        <v>6.9</v>
      </c>
      <c r="H118" s="815">
        <v>6.8</v>
      </c>
      <c r="I118" s="815">
        <v>6.7</v>
      </c>
      <c r="J118" s="815">
        <v>6.6</v>
      </c>
      <c r="K118" s="815">
        <v>6.5</v>
      </c>
      <c r="L118" s="815">
        <v>6.4</v>
      </c>
      <c r="M118" s="815">
        <v>6.3</v>
      </c>
      <c r="N118" s="815">
        <v>6.1</v>
      </c>
      <c r="O118" s="815">
        <v>6</v>
      </c>
      <c r="P118" s="815">
        <v>5.8</v>
      </c>
      <c r="Q118" s="815">
        <v>5.4</v>
      </c>
      <c r="R118" s="815">
        <v>5</v>
      </c>
      <c r="S118" s="815">
        <v>4.4000000000000004</v>
      </c>
      <c r="T118" s="815">
        <v>3.8</v>
      </c>
      <c r="U118" s="815">
        <v>3.2</v>
      </c>
      <c r="V118" s="815">
        <v>2.5</v>
      </c>
      <c r="W118" s="816">
        <v>1.9</v>
      </c>
    </row>
    <row r="119" spans="2:23" ht="15" hidden="1" customHeight="1">
      <c r="B119" s="61"/>
      <c r="C119" s="814">
        <v>7.7</v>
      </c>
      <c r="D119" s="815">
        <v>7.6</v>
      </c>
      <c r="E119" s="815">
        <v>7.6</v>
      </c>
      <c r="F119" s="815">
        <v>7.5</v>
      </c>
      <c r="G119" s="815">
        <v>7.4</v>
      </c>
      <c r="H119" s="815">
        <v>7.3</v>
      </c>
      <c r="I119" s="815">
        <v>7.2</v>
      </c>
      <c r="J119" s="815">
        <v>7.1</v>
      </c>
      <c r="K119" s="815">
        <v>7</v>
      </c>
      <c r="L119" s="815">
        <v>6.9</v>
      </c>
      <c r="M119" s="815">
        <v>6.8</v>
      </c>
      <c r="N119" s="815">
        <v>6.6</v>
      </c>
      <c r="O119" s="815">
        <v>6.5</v>
      </c>
      <c r="P119" s="815">
        <v>6.3</v>
      </c>
      <c r="Q119" s="815">
        <v>5.9</v>
      </c>
      <c r="R119" s="815">
        <v>5.5</v>
      </c>
      <c r="S119" s="815">
        <v>4.9000000000000004</v>
      </c>
      <c r="T119" s="815">
        <v>4.3</v>
      </c>
      <c r="U119" s="815">
        <v>3.7</v>
      </c>
      <c r="V119" s="815">
        <v>3</v>
      </c>
      <c r="W119" s="816">
        <v>2.4</v>
      </c>
    </row>
    <row r="120" spans="2:23" ht="15" hidden="1" customHeight="1">
      <c r="B120" s="61"/>
      <c r="C120" s="814">
        <v>8.1999999999999993</v>
      </c>
      <c r="D120" s="815">
        <v>8.1</v>
      </c>
      <c r="E120" s="815">
        <v>8.1</v>
      </c>
      <c r="F120" s="815">
        <v>8</v>
      </c>
      <c r="G120" s="815">
        <v>7.9</v>
      </c>
      <c r="H120" s="815">
        <v>7.8</v>
      </c>
      <c r="I120" s="815">
        <v>7.7</v>
      </c>
      <c r="J120" s="815">
        <v>7.6</v>
      </c>
      <c r="K120" s="815">
        <v>7.5</v>
      </c>
      <c r="L120" s="815">
        <v>7.4</v>
      </c>
      <c r="M120" s="815">
        <v>7.3</v>
      </c>
      <c r="N120" s="815">
        <v>7.1</v>
      </c>
      <c r="O120" s="815">
        <v>7</v>
      </c>
      <c r="P120" s="815">
        <v>6.8</v>
      </c>
      <c r="Q120" s="815">
        <v>6.4</v>
      </c>
      <c r="R120" s="815">
        <v>6</v>
      </c>
      <c r="S120" s="815">
        <v>5.4</v>
      </c>
      <c r="T120" s="815">
        <v>4.8</v>
      </c>
      <c r="U120" s="815">
        <v>4.2</v>
      </c>
      <c r="V120" s="815">
        <v>3.5</v>
      </c>
      <c r="W120" s="816">
        <v>2.9</v>
      </c>
    </row>
    <row r="121" spans="2:23" ht="15" hidden="1" customHeight="1">
      <c r="B121" s="61"/>
      <c r="C121" s="814">
        <v>8.6999999999999993</v>
      </c>
      <c r="D121" s="815">
        <v>8.6</v>
      </c>
      <c r="E121" s="815">
        <v>8.6</v>
      </c>
      <c r="F121" s="815">
        <v>8.5</v>
      </c>
      <c r="G121" s="815">
        <v>8.4</v>
      </c>
      <c r="H121" s="815">
        <v>8.3000000000000007</v>
      </c>
      <c r="I121" s="815">
        <v>8.1999999999999993</v>
      </c>
      <c r="J121" s="815">
        <v>8.1</v>
      </c>
      <c r="K121" s="815">
        <v>8</v>
      </c>
      <c r="L121" s="815">
        <v>7.9</v>
      </c>
      <c r="M121" s="815">
        <v>7.8</v>
      </c>
      <c r="N121" s="815">
        <v>7.6</v>
      </c>
      <c r="O121" s="815">
        <v>7.5</v>
      </c>
      <c r="P121" s="815">
        <v>7.3</v>
      </c>
      <c r="Q121" s="815">
        <v>6.9</v>
      </c>
      <c r="R121" s="815">
        <v>6.5</v>
      </c>
      <c r="S121" s="815">
        <v>5.9</v>
      </c>
      <c r="T121" s="815">
        <v>5.3</v>
      </c>
      <c r="U121" s="815">
        <v>4.7</v>
      </c>
      <c r="V121" s="815">
        <v>4</v>
      </c>
      <c r="W121" s="816">
        <v>3.4</v>
      </c>
    </row>
    <row r="122" spans="2:23" ht="15" hidden="1" customHeight="1">
      <c r="B122" s="61"/>
      <c r="C122" s="814">
        <v>9.1999999999999993</v>
      </c>
      <c r="D122" s="815">
        <v>9.1</v>
      </c>
      <c r="E122" s="815">
        <v>9.1</v>
      </c>
      <c r="F122" s="815">
        <v>9</v>
      </c>
      <c r="G122" s="815">
        <v>8.9</v>
      </c>
      <c r="H122" s="815">
        <v>8.8000000000000007</v>
      </c>
      <c r="I122" s="815">
        <v>8.6999999999999993</v>
      </c>
      <c r="J122" s="815">
        <v>8.6</v>
      </c>
      <c r="K122" s="815">
        <v>8.5</v>
      </c>
      <c r="L122" s="815">
        <v>8.4</v>
      </c>
      <c r="M122" s="815">
        <v>8.3000000000000007</v>
      </c>
      <c r="N122" s="815">
        <v>8.1</v>
      </c>
      <c r="O122" s="815">
        <v>8</v>
      </c>
      <c r="P122" s="815">
        <v>7.8</v>
      </c>
      <c r="Q122" s="815">
        <v>7.4</v>
      </c>
      <c r="R122" s="815">
        <v>7</v>
      </c>
      <c r="S122" s="815">
        <v>6.4</v>
      </c>
      <c r="T122" s="815">
        <v>5.8</v>
      </c>
      <c r="U122" s="815">
        <v>5.2</v>
      </c>
      <c r="V122" s="815">
        <v>4.5</v>
      </c>
      <c r="W122" s="816">
        <v>3.9</v>
      </c>
    </row>
    <row r="123" spans="2:23" ht="15" hidden="1" customHeight="1">
      <c r="B123" s="61"/>
      <c r="C123" s="814">
        <v>9.8000000000000007</v>
      </c>
      <c r="D123" s="815">
        <v>9.6</v>
      </c>
      <c r="E123" s="815">
        <v>9.6</v>
      </c>
      <c r="F123" s="815">
        <v>9.5</v>
      </c>
      <c r="G123" s="815">
        <v>9.4</v>
      </c>
      <c r="H123" s="815">
        <v>9.3000000000000007</v>
      </c>
      <c r="I123" s="815">
        <v>9.1999999999999993</v>
      </c>
      <c r="J123" s="815">
        <v>9.1</v>
      </c>
      <c r="K123" s="815">
        <v>9</v>
      </c>
      <c r="L123" s="815">
        <v>8.9</v>
      </c>
      <c r="M123" s="815">
        <v>8.8000000000000007</v>
      </c>
      <c r="N123" s="815">
        <v>8.6</v>
      </c>
      <c r="O123" s="815">
        <v>8.5</v>
      </c>
      <c r="P123" s="815">
        <v>8.3000000000000007</v>
      </c>
      <c r="Q123" s="815">
        <v>7.9</v>
      </c>
      <c r="R123" s="815">
        <v>7.5</v>
      </c>
      <c r="S123" s="815">
        <v>6.9</v>
      </c>
      <c r="T123" s="815">
        <v>6.3</v>
      </c>
      <c r="U123" s="815">
        <v>5.7</v>
      </c>
      <c r="V123" s="815">
        <v>5</v>
      </c>
      <c r="W123" s="816">
        <v>4.4000000000000004</v>
      </c>
    </row>
    <row r="124" spans="2:23" ht="15" hidden="1" customHeight="1">
      <c r="B124" s="61"/>
      <c r="C124" s="814">
        <v>10.3</v>
      </c>
      <c r="D124" s="815">
        <v>10.1</v>
      </c>
      <c r="E124" s="815">
        <v>10.1</v>
      </c>
      <c r="F124" s="815">
        <v>10</v>
      </c>
      <c r="G124" s="815">
        <v>9.9</v>
      </c>
      <c r="H124" s="815">
        <v>9.8000000000000007</v>
      </c>
      <c r="I124" s="815">
        <v>9.6999999999999993</v>
      </c>
      <c r="J124" s="815">
        <v>9.6</v>
      </c>
      <c r="K124" s="815">
        <v>9.5</v>
      </c>
      <c r="L124" s="815">
        <v>9.4</v>
      </c>
      <c r="M124" s="815">
        <v>9.3000000000000007</v>
      </c>
      <c r="N124" s="815">
        <v>9.1</v>
      </c>
      <c r="O124" s="815">
        <v>9</v>
      </c>
      <c r="P124" s="815">
        <v>8.8000000000000007</v>
      </c>
      <c r="Q124" s="815">
        <v>8.4</v>
      </c>
      <c r="R124" s="815">
        <v>8</v>
      </c>
      <c r="S124" s="815">
        <v>7.4</v>
      </c>
      <c r="T124" s="815">
        <v>6.8</v>
      </c>
      <c r="U124" s="815">
        <v>6.2</v>
      </c>
      <c r="V124" s="815">
        <v>5.5</v>
      </c>
      <c r="W124" s="816">
        <v>4.9000000000000004</v>
      </c>
    </row>
    <row r="125" spans="2:23" ht="15" hidden="1" customHeight="1">
      <c r="B125" s="61"/>
      <c r="C125" s="814">
        <v>10.8</v>
      </c>
      <c r="D125" s="815">
        <v>10.7</v>
      </c>
      <c r="E125" s="815">
        <v>10.6</v>
      </c>
      <c r="F125" s="815">
        <v>10.5</v>
      </c>
      <c r="G125" s="815">
        <v>10.4</v>
      </c>
      <c r="H125" s="815">
        <v>10.3</v>
      </c>
      <c r="I125" s="815">
        <v>10.199999999999999</v>
      </c>
      <c r="J125" s="815">
        <v>10.1</v>
      </c>
      <c r="K125" s="815">
        <v>10</v>
      </c>
      <c r="L125" s="815">
        <v>9.9</v>
      </c>
      <c r="M125" s="815">
        <v>9.8000000000000007</v>
      </c>
      <c r="N125" s="815">
        <v>9.6</v>
      </c>
      <c r="O125" s="815">
        <v>9.5</v>
      </c>
      <c r="P125" s="815">
        <v>9.3000000000000007</v>
      </c>
      <c r="Q125" s="815">
        <v>8.9</v>
      </c>
      <c r="R125" s="815">
        <v>8.5</v>
      </c>
      <c r="S125" s="815">
        <v>7.9</v>
      </c>
      <c r="T125" s="815">
        <v>7.2</v>
      </c>
      <c r="U125" s="815">
        <v>6.6</v>
      </c>
      <c r="V125" s="815">
        <v>6</v>
      </c>
      <c r="W125" s="816">
        <v>5.4</v>
      </c>
    </row>
    <row r="126" spans="2:23" ht="15" hidden="1" customHeight="1">
      <c r="B126" s="61"/>
      <c r="C126" s="814">
        <v>11.3</v>
      </c>
      <c r="D126" s="815">
        <v>11.2</v>
      </c>
      <c r="E126" s="815">
        <v>11.1</v>
      </c>
      <c r="F126" s="815">
        <v>11</v>
      </c>
      <c r="G126" s="815">
        <v>10.9</v>
      </c>
      <c r="H126" s="815">
        <v>10.8</v>
      </c>
      <c r="I126" s="815">
        <v>10.7</v>
      </c>
      <c r="J126" s="815">
        <v>10.6</v>
      </c>
      <c r="K126" s="815">
        <v>10.5</v>
      </c>
      <c r="L126" s="815">
        <v>10.4</v>
      </c>
      <c r="M126" s="815">
        <v>10.3</v>
      </c>
      <c r="N126" s="815">
        <v>10.1</v>
      </c>
      <c r="O126" s="815">
        <v>10</v>
      </c>
      <c r="P126" s="815">
        <v>9.8000000000000007</v>
      </c>
      <c r="Q126" s="815">
        <v>9.4</v>
      </c>
      <c r="R126" s="815">
        <v>8.9</v>
      </c>
      <c r="S126" s="815">
        <v>8.3000000000000007</v>
      </c>
      <c r="T126" s="815">
        <v>7.7</v>
      </c>
      <c r="U126" s="815">
        <v>7.1</v>
      </c>
      <c r="V126" s="815">
        <v>6.5</v>
      </c>
      <c r="W126" s="816">
        <v>5.9</v>
      </c>
    </row>
    <row r="127" spans="2:23" ht="15" hidden="1" customHeight="1">
      <c r="B127" s="61"/>
      <c r="C127" s="814">
        <v>11.8</v>
      </c>
      <c r="D127" s="815">
        <v>11.7</v>
      </c>
      <c r="E127" s="815">
        <v>11.6</v>
      </c>
      <c r="F127" s="815">
        <v>11.5</v>
      </c>
      <c r="G127" s="815">
        <v>11.4</v>
      </c>
      <c r="H127" s="815">
        <v>11.3</v>
      </c>
      <c r="I127" s="815">
        <v>11.2</v>
      </c>
      <c r="J127" s="815">
        <v>11.1</v>
      </c>
      <c r="K127" s="815">
        <v>11</v>
      </c>
      <c r="L127" s="815">
        <v>10.9</v>
      </c>
      <c r="M127" s="815">
        <v>10.8</v>
      </c>
      <c r="N127" s="815">
        <v>10.6</v>
      </c>
      <c r="O127" s="815">
        <v>10.5</v>
      </c>
      <c r="P127" s="815">
        <v>10.3</v>
      </c>
      <c r="Q127" s="815">
        <v>9.9</v>
      </c>
      <c r="R127" s="815">
        <v>9.4</v>
      </c>
      <c r="S127" s="815">
        <v>8.8000000000000007</v>
      </c>
      <c r="T127" s="815">
        <v>8.1999999999999993</v>
      </c>
      <c r="U127" s="815">
        <v>7.6</v>
      </c>
      <c r="V127" s="815">
        <v>7</v>
      </c>
      <c r="W127" s="816">
        <v>6.4</v>
      </c>
    </row>
    <row r="128" spans="2:23" ht="15" hidden="1" customHeight="1">
      <c r="B128" s="61"/>
      <c r="C128" s="814">
        <v>12.3</v>
      </c>
      <c r="D128" s="815">
        <v>12.2</v>
      </c>
      <c r="E128" s="815">
        <v>12.2</v>
      </c>
      <c r="F128" s="815">
        <v>12.1</v>
      </c>
      <c r="G128" s="815">
        <v>12</v>
      </c>
      <c r="H128" s="815">
        <v>11.8</v>
      </c>
      <c r="I128" s="815">
        <v>11.7</v>
      </c>
      <c r="J128" s="815">
        <v>11.6</v>
      </c>
      <c r="K128" s="815">
        <v>11.5</v>
      </c>
      <c r="L128" s="815">
        <v>11.4</v>
      </c>
      <c r="M128" s="815">
        <v>11.3</v>
      </c>
      <c r="N128" s="815">
        <v>11.1</v>
      </c>
      <c r="O128" s="815">
        <v>11</v>
      </c>
      <c r="P128" s="815">
        <v>10.8</v>
      </c>
      <c r="Q128" s="815">
        <v>10.4</v>
      </c>
      <c r="R128" s="815">
        <v>9.9</v>
      </c>
      <c r="S128" s="815">
        <v>9.3000000000000007</v>
      </c>
      <c r="T128" s="815">
        <v>8.6999999999999993</v>
      </c>
      <c r="U128" s="815">
        <v>8.1</v>
      </c>
      <c r="V128" s="815">
        <v>7.5</v>
      </c>
      <c r="W128" s="816">
        <v>6.9</v>
      </c>
    </row>
    <row r="129" spans="2:23" ht="15" hidden="1" customHeight="1">
      <c r="B129" s="61"/>
      <c r="C129" s="814">
        <v>12.9</v>
      </c>
      <c r="D129" s="815">
        <v>12.7</v>
      </c>
      <c r="E129" s="815">
        <v>12.7</v>
      </c>
      <c r="F129" s="815">
        <v>12.6</v>
      </c>
      <c r="G129" s="815">
        <v>12.5</v>
      </c>
      <c r="H129" s="815">
        <v>12.3</v>
      </c>
      <c r="I129" s="815">
        <v>12.2</v>
      </c>
      <c r="J129" s="815">
        <v>12.1</v>
      </c>
      <c r="K129" s="815">
        <v>12</v>
      </c>
      <c r="L129" s="815">
        <v>11.9</v>
      </c>
      <c r="M129" s="815">
        <v>11.8</v>
      </c>
      <c r="N129" s="815">
        <v>11.6</v>
      </c>
      <c r="O129" s="815">
        <v>11.5</v>
      </c>
      <c r="P129" s="815">
        <v>11.3</v>
      </c>
      <c r="Q129" s="815">
        <v>10.9</v>
      </c>
      <c r="R129" s="815">
        <v>10.4</v>
      </c>
      <c r="S129" s="815">
        <v>9.8000000000000007</v>
      </c>
      <c r="T129" s="815">
        <v>9.1999999999999993</v>
      </c>
      <c r="U129" s="815">
        <v>8.6</v>
      </c>
      <c r="V129" s="815">
        <v>8</v>
      </c>
      <c r="W129" s="816">
        <v>7.4</v>
      </c>
    </row>
    <row r="130" spans="2:23" ht="15" hidden="1" customHeight="1">
      <c r="B130" s="61"/>
      <c r="C130" s="814">
        <v>13.4</v>
      </c>
      <c r="D130" s="815">
        <v>13.2</v>
      </c>
      <c r="E130" s="815">
        <v>13.2</v>
      </c>
      <c r="F130" s="815">
        <v>13.1</v>
      </c>
      <c r="G130" s="815">
        <v>13</v>
      </c>
      <c r="H130" s="815">
        <v>12.9</v>
      </c>
      <c r="I130" s="815">
        <v>12.7</v>
      </c>
      <c r="J130" s="815">
        <v>12.6</v>
      </c>
      <c r="K130" s="815">
        <v>12.5</v>
      </c>
      <c r="L130" s="815">
        <v>12.4</v>
      </c>
      <c r="M130" s="815">
        <v>12.3</v>
      </c>
      <c r="N130" s="815">
        <v>12.1</v>
      </c>
      <c r="O130" s="815">
        <v>12</v>
      </c>
      <c r="P130" s="815">
        <v>11.8</v>
      </c>
      <c r="Q130" s="815">
        <v>11.4</v>
      </c>
      <c r="R130" s="815">
        <v>10.9</v>
      </c>
      <c r="S130" s="815">
        <v>10.3</v>
      </c>
      <c r="T130" s="815">
        <v>9.6999999999999993</v>
      </c>
      <c r="U130" s="815">
        <v>9.1</v>
      </c>
      <c r="V130" s="815">
        <v>8.5</v>
      </c>
      <c r="W130" s="816">
        <v>7.9</v>
      </c>
    </row>
    <row r="131" spans="2:23" ht="15" hidden="1" customHeight="1">
      <c r="B131" s="61"/>
      <c r="C131" s="814">
        <v>13.9</v>
      </c>
      <c r="D131" s="815">
        <v>13.7</v>
      </c>
      <c r="E131" s="815">
        <v>13.7</v>
      </c>
      <c r="F131" s="815">
        <v>13.6</v>
      </c>
      <c r="G131" s="815">
        <v>13.5</v>
      </c>
      <c r="H131" s="815">
        <v>13.4</v>
      </c>
      <c r="I131" s="815">
        <v>13.2</v>
      </c>
      <c r="J131" s="815">
        <v>13.1</v>
      </c>
      <c r="K131" s="815">
        <v>13</v>
      </c>
      <c r="L131" s="815">
        <v>12.9</v>
      </c>
      <c r="M131" s="815">
        <v>12.8</v>
      </c>
      <c r="N131" s="815">
        <v>12.6</v>
      </c>
      <c r="O131" s="815">
        <v>12.5</v>
      </c>
      <c r="P131" s="815">
        <v>12.3</v>
      </c>
      <c r="Q131" s="815">
        <v>11.9</v>
      </c>
      <c r="R131" s="815">
        <v>11.4</v>
      </c>
      <c r="S131" s="815">
        <v>10.8</v>
      </c>
      <c r="T131" s="815">
        <v>10.199999999999999</v>
      </c>
      <c r="U131" s="815">
        <v>9.6</v>
      </c>
      <c r="V131" s="815">
        <v>9</v>
      </c>
      <c r="W131" s="816">
        <v>8.4</v>
      </c>
    </row>
    <row r="132" spans="2:23" ht="15" hidden="1" customHeight="1">
      <c r="B132" s="61"/>
      <c r="C132" s="814">
        <v>14.4</v>
      </c>
      <c r="D132" s="815">
        <v>14.2</v>
      </c>
      <c r="E132" s="815">
        <v>14.2</v>
      </c>
      <c r="F132" s="815">
        <v>14.1</v>
      </c>
      <c r="G132" s="815">
        <v>14</v>
      </c>
      <c r="H132" s="815">
        <v>13.9</v>
      </c>
      <c r="I132" s="815">
        <v>13.7</v>
      </c>
      <c r="J132" s="815">
        <v>13.6</v>
      </c>
      <c r="K132" s="815">
        <v>13.5</v>
      </c>
      <c r="L132" s="815">
        <v>13.4</v>
      </c>
      <c r="M132" s="815">
        <v>13.3</v>
      </c>
      <c r="N132" s="815">
        <v>13.1</v>
      </c>
      <c r="O132" s="815">
        <v>13</v>
      </c>
      <c r="P132" s="815">
        <v>12.8</v>
      </c>
      <c r="Q132" s="815">
        <v>12.4</v>
      </c>
      <c r="R132" s="815">
        <v>11.9</v>
      </c>
      <c r="S132" s="815">
        <v>11.3</v>
      </c>
      <c r="T132" s="815">
        <v>10.7</v>
      </c>
      <c r="U132" s="815">
        <v>10.1</v>
      </c>
      <c r="V132" s="815">
        <v>9.5</v>
      </c>
      <c r="W132" s="816">
        <v>8.9</v>
      </c>
    </row>
    <row r="133" spans="2:23" ht="15" hidden="1" customHeight="1">
      <c r="B133" s="61"/>
      <c r="C133" s="814">
        <v>14.9</v>
      </c>
      <c r="D133" s="815">
        <v>14.7</v>
      </c>
      <c r="E133" s="815">
        <v>14.7</v>
      </c>
      <c r="F133" s="815">
        <v>14.6</v>
      </c>
      <c r="G133" s="815">
        <v>14.5</v>
      </c>
      <c r="H133" s="815">
        <v>14.4</v>
      </c>
      <c r="I133" s="815">
        <v>14.2</v>
      </c>
      <c r="J133" s="815">
        <v>14.1</v>
      </c>
      <c r="K133" s="815">
        <v>14</v>
      </c>
      <c r="L133" s="815">
        <v>13.9</v>
      </c>
      <c r="M133" s="815">
        <v>13.8</v>
      </c>
      <c r="N133" s="815">
        <v>13.6</v>
      </c>
      <c r="O133" s="815">
        <v>13.5</v>
      </c>
      <c r="P133" s="815">
        <v>13.3</v>
      </c>
      <c r="Q133" s="815">
        <v>12.8</v>
      </c>
      <c r="R133" s="815">
        <v>12.4</v>
      </c>
      <c r="S133" s="815">
        <v>11.8</v>
      </c>
      <c r="T133" s="815">
        <v>11.2</v>
      </c>
      <c r="U133" s="815">
        <v>10.6</v>
      </c>
      <c r="V133" s="815">
        <v>10</v>
      </c>
      <c r="W133" s="816">
        <v>9.4</v>
      </c>
    </row>
    <row r="134" spans="2:23" ht="15" hidden="1" customHeight="1">
      <c r="B134" s="61"/>
      <c r="C134" s="814">
        <v>15.4</v>
      </c>
      <c r="D134" s="815">
        <v>15.2</v>
      </c>
      <c r="E134" s="815">
        <v>15.2</v>
      </c>
      <c r="F134" s="815">
        <v>15.1</v>
      </c>
      <c r="G134" s="815">
        <v>15</v>
      </c>
      <c r="H134" s="815">
        <v>14.9</v>
      </c>
      <c r="I134" s="815">
        <v>14.7</v>
      </c>
      <c r="J134" s="815">
        <v>14.6</v>
      </c>
      <c r="K134" s="815">
        <v>14.5</v>
      </c>
      <c r="L134" s="815">
        <v>14.4</v>
      </c>
      <c r="M134" s="815">
        <v>14.3</v>
      </c>
      <c r="N134" s="815">
        <v>14.1</v>
      </c>
      <c r="O134" s="815">
        <v>14</v>
      </c>
      <c r="P134" s="815">
        <v>13.8</v>
      </c>
      <c r="Q134" s="815">
        <v>13.3</v>
      </c>
      <c r="R134" s="815">
        <v>12.9</v>
      </c>
      <c r="S134" s="815">
        <v>12.3</v>
      </c>
      <c r="T134" s="815">
        <v>11.7</v>
      </c>
      <c r="U134" s="815">
        <v>11.1</v>
      </c>
      <c r="V134" s="815">
        <v>10.5</v>
      </c>
      <c r="W134" s="816">
        <v>9.9</v>
      </c>
    </row>
    <row r="135" spans="2:23" ht="15" hidden="1" customHeight="1">
      <c r="B135" s="61"/>
      <c r="C135" s="814">
        <v>15.9</v>
      </c>
      <c r="D135" s="815">
        <v>15.7</v>
      </c>
      <c r="E135" s="815">
        <v>15.7</v>
      </c>
      <c r="F135" s="815">
        <v>15.6</v>
      </c>
      <c r="G135" s="815">
        <v>15.5</v>
      </c>
      <c r="H135" s="815">
        <v>15.4</v>
      </c>
      <c r="I135" s="815">
        <v>15.2</v>
      </c>
      <c r="J135" s="815">
        <v>15.1</v>
      </c>
      <c r="K135" s="815">
        <v>15</v>
      </c>
      <c r="L135" s="815">
        <v>14.9</v>
      </c>
      <c r="M135" s="815">
        <v>14.8</v>
      </c>
      <c r="N135" s="815">
        <v>14.6</v>
      </c>
      <c r="O135" s="815">
        <v>14.5</v>
      </c>
      <c r="P135" s="815">
        <v>14.3</v>
      </c>
      <c r="Q135" s="815">
        <v>13.8</v>
      </c>
      <c r="R135" s="815">
        <v>13.4</v>
      </c>
      <c r="S135" s="815">
        <v>12.8</v>
      </c>
      <c r="T135" s="815">
        <v>12.2</v>
      </c>
      <c r="U135" s="815">
        <v>11.6</v>
      </c>
      <c r="V135" s="815">
        <v>11</v>
      </c>
      <c r="W135" s="816">
        <v>10.4</v>
      </c>
    </row>
    <row r="136" spans="2:23" ht="15" hidden="1" customHeight="1">
      <c r="B136" s="61"/>
      <c r="C136" s="814">
        <v>16.399999999999999</v>
      </c>
      <c r="D136" s="815">
        <v>16.3</v>
      </c>
      <c r="E136" s="815">
        <v>16.2</v>
      </c>
      <c r="F136" s="815">
        <v>16.100000000000001</v>
      </c>
      <c r="G136" s="815">
        <v>16</v>
      </c>
      <c r="H136" s="815">
        <v>15.9</v>
      </c>
      <c r="I136" s="815">
        <v>15.7</v>
      </c>
      <c r="J136" s="815">
        <v>15.6</v>
      </c>
      <c r="K136" s="815">
        <v>15.5</v>
      </c>
      <c r="L136" s="815">
        <v>15.4</v>
      </c>
      <c r="M136" s="815">
        <v>15.3</v>
      </c>
      <c r="N136" s="815">
        <v>15.1</v>
      </c>
      <c r="O136" s="815">
        <v>15</v>
      </c>
      <c r="P136" s="815">
        <v>14.8</v>
      </c>
      <c r="Q136" s="815">
        <v>14.3</v>
      </c>
      <c r="R136" s="815">
        <v>13.9</v>
      </c>
      <c r="S136" s="815">
        <v>13.3</v>
      </c>
      <c r="T136" s="815">
        <v>12.7</v>
      </c>
      <c r="U136" s="815">
        <v>12.1</v>
      </c>
      <c r="V136" s="815">
        <v>11.5</v>
      </c>
      <c r="W136" s="816">
        <v>10.9</v>
      </c>
    </row>
    <row r="137" spans="2:23" ht="15" hidden="1" customHeight="1">
      <c r="C137" s="814">
        <v>16.899999999999999</v>
      </c>
      <c r="D137" s="815">
        <v>16.8</v>
      </c>
      <c r="E137" s="815">
        <v>16.7</v>
      </c>
      <c r="F137" s="815">
        <v>16.600000000000001</v>
      </c>
      <c r="G137" s="815">
        <v>16.5</v>
      </c>
      <c r="H137" s="815">
        <v>16.399999999999999</v>
      </c>
      <c r="I137" s="815">
        <v>16.3</v>
      </c>
      <c r="J137" s="815">
        <v>16.100000000000001</v>
      </c>
      <c r="K137" s="815">
        <v>16</v>
      </c>
      <c r="L137" s="815">
        <v>15.9</v>
      </c>
      <c r="M137" s="815">
        <v>15.8</v>
      </c>
      <c r="N137" s="815">
        <v>15.6</v>
      </c>
      <c r="O137" s="815">
        <v>15.5</v>
      </c>
      <c r="P137" s="815">
        <v>15.3</v>
      </c>
      <c r="Q137" s="815">
        <v>14.8</v>
      </c>
      <c r="R137" s="815">
        <v>14.4</v>
      </c>
      <c r="S137" s="815">
        <v>13.8</v>
      </c>
      <c r="T137" s="815">
        <v>13.2</v>
      </c>
      <c r="U137" s="815">
        <v>12.6</v>
      </c>
      <c r="V137" s="815">
        <v>12</v>
      </c>
      <c r="W137" s="816">
        <v>11.4</v>
      </c>
    </row>
    <row r="138" spans="2:23" ht="15" hidden="1" customHeight="1">
      <c r="C138" s="814">
        <v>17.5</v>
      </c>
      <c r="D138" s="815">
        <v>17.3</v>
      </c>
      <c r="E138" s="815">
        <v>17.2</v>
      </c>
      <c r="F138" s="815">
        <v>17.100000000000001</v>
      </c>
      <c r="G138" s="815">
        <v>17</v>
      </c>
      <c r="H138" s="815">
        <v>16.899999999999999</v>
      </c>
      <c r="I138" s="815">
        <v>16.8</v>
      </c>
      <c r="J138" s="815">
        <v>16.600000000000001</v>
      </c>
      <c r="K138" s="815">
        <v>16.5</v>
      </c>
      <c r="L138" s="815">
        <v>16.399999999999999</v>
      </c>
      <c r="M138" s="815">
        <v>16.3</v>
      </c>
      <c r="N138" s="815">
        <v>16.100000000000001</v>
      </c>
      <c r="O138" s="815">
        <v>16</v>
      </c>
      <c r="P138" s="815">
        <v>15.8</v>
      </c>
      <c r="Q138" s="815">
        <v>15.3</v>
      </c>
      <c r="R138" s="815">
        <v>14.9</v>
      </c>
      <c r="S138" s="815">
        <v>14.3</v>
      </c>
      <c r="T138" s="815">
        <v>13.7</v>
      </c>
      <c r="U138" s="815">
        <v>13.1</v>
      </c>
      <c r="V138" s="815">
        <v>12.5</v>
      </c>
      <c r="W138" s="816">
        <v>11.9</v>
      </c>
    </row>
    <row r="139" spans="2:23" ht="15" hidden="1" customHeight="1">
      <c r="C139" s="814">
        <v>18</v>
      </c>
      <c r="D139" s="815">
        <v>17.8</v>
      </c>
      <c r="E139" s="815">
        <v>17.7</v>
      </c>
      <c r="F139" s="815">
        <v>17.600000000000001</v>
      </c>
      <c r="G139" s="815">
        <v>17.5</v>
      </c>
      <c r="H139" s="815">
        <v>17.399999999999999</v>
      </c>
      <c r="I139" s="815">
        <v>17.3</v>
      </c>
      <c r="J139" s="815">
        <v>17.100000000000001</v>
      </c>
      <c r="K139" s="815">
        <v>17</v>
      </c>
      <c r="L139" s="815">
        <v>16.899999999999999</v>
      </c>
      <c r="M139" s="815">
        <v>16.8</v>
      </c>
      <c r="N139" s="815">
        <v>16.600000000000001</v>
      </c>
      <c r="O139" s="815">
        <v>16.5</v>
      </c>
      <c r="P139" s="815">
        <v>16.3</v>
      </c>
      <c r="Q139" s="815">
        <v>15.9</v>
      </c>
      <c r="R139" s="815">
        <v>15.4</v>
      </c>
      <c r="S139" s="815">
        <v>14.8</v>
      </c>
      <c r="T139" s="815">
        <v>14.2</v>
      </c>
      <c r="U139" s="815">
        <v>13.6</v>
      </c>
      <c r="V139" s="815">
        <v>13</v>
      </c>
      <c r="W139" s="816">
        <v>12.4</v>
      </c>
    </row>
    <row r="140" spans="2:23" ht="15" hidden="1" customHeight="1">
      <c r="C140" s="814">
        <v>18.5</v>
      </c>
      <c r="D140" s="815">
        <v>18.3</v>
      </c>
      <c r="E140" s="815">
        <v>18.2</v>
      </c>
      <c r="F140" s="815">
        <v>18.100000000000001</v>
      </c>
      <c r="G140" s="815">
        <v>18</v>
      </c>
      <c r="H140" s="815">
        <v>17.899999999999999</v>
      </c>
      <c r="I140" s="815">
        <v>17.8</v>
      </c>
      <c r="J140" s="815">
        <v>17.600000000000001</v>
      </c>
      <c r="K140" s="815">
        <v>17.5</v>
      </c>
      <c r="L140" s="815">
        <v>17.399999999999999</v>
      </c>
      <c r="M140" s="815">
        <v>17.3</v>
      </c>
      <c r="N140" s="815">
        <v>17.100000000000001</v>
      </c>
      <c r="O140" s="815">
        <v>17</v>
      </c>
      <c r="P140" s="815">
        <v>16.8</v>
      </c>
      <c r="Q140" s="815">
        <v>16.399999999999999</v>
      </c>
      <c r="R140" s="815">
        <v>15.9</v>
      </c>
      <c r="S140" s="815">
        <v>15.3</v>
      </c>
      <c r="T140" s="815">
        <v>14.7</v>
      </c>
      <c r="U140" s="815">
        <v>14.1</v>
      </c>
      <c r="V140" s="815">
        <v>13.5</v>
      </c>
      <c r="W140" s="816">
        <v>12.9</v>
      </c>
    </row>
    <row r="141" spans="2:23" ht="15" hidden="1" customHeight="1">
      <c r="C141" s="814">
        <v>19</v>
      </c>
      <c r="D141" s="815">
        <v>18.8</v>
      </c>
      <c r="E141" s="815">
        <v>18.7</v>
      </c>
      <c r="F141" s="815">
        <v>18.600000000000001</v>
      </c>
      <c r="G141" s="815">
        <v>18.5</v>
      </c>
      <c r="H141" s="815">
        <v>18.399999999999999</v>
      </c>
      <c r="I141" s="815">
        <v>18.3</v>
      </c>
      <c r="J141" s="815">
        <v>18.100000000000001</v>
      </c>
      <c r="K141" s="815">
        <v>18</v>
      </c>
      <c r="L141" s="815">
        <v>17.899999999999999</v>
      </c>
      <c r="M141" s="815">
        <v>17.8</v>
      </c>
      <c r="N141" s="815">
        <v>17.600000000000001</v>
      </c>
      <c r="O141" s="815">
        <v>17.5</v>
      </c>
      <c r="P141" s="815">
        <v>17.3</v>
      </c>
      <c r="Q141" s="815">
        <v>16.899999999999999</v>
      </c>
      <c r="R141" s="815">
        <v>16.399999999999999</v>
      </c>
      <c r="S141" s="815">
        <v>15.8</v>
      </c>
      <c r="T141" s="815">
        <v>15.2</v>
      </c>
      <c r="U141" s="815">
        <v>14.6</v>
      </c>
      <c r="V141" s="815">
        <v>14</v>
      </c>
      <c r="W141" s="816">
        <v>13.4</v>
      </c>
    </row>
    <row r="142" spans="2:23" ht="15" hidden="1" customHeight="1">
      <c r="C142" s="814">
        <v>19.5</v>
      </c>
      <c r="D142" s="815">
        <v>19.3</v>
      </c>
      <c r="E142" s="815">
        <v>19.2</v>
      </c>
      <c r="F142" s="815">
        <v>19.100000000000001</v>
      </c>
      <c r="G142" s="815">
        <v>19</v>
      </c>
      <c r="H142" s="815">
        <v>18.899999999999999</v>
      </c>
      <c r="I142" s="815">
        <v>18.8</v>
      </c>
      <c r="J142" s="815">
        <v>18.600000000000001</v>
      </c>
      <c r="K142" s="815">
        <v>18.5</v>
      </c>
      <c r="L142" s="815">
        <v>18.399999999999999</v>
      </c>
      <c r="M142" s="815">
        <v>18.3</v>
      </c>
      <c r="N142" s="815">
        <v>18.100000000000001</v>
      </c>
      <c r="O142" s="815">
        <v>18</v>
      </c>
      <c r="P142" s="815">
        <v>17.8</v>
      </c>
      <c r="Q142" s="815">
        <v>17.399999999999999</v>
      </c>
      <c r="R142" s="815">
        <v>16.899999999999999</v>
      </c>
      <c r="S142" s="815">
        <v>16.3</v>
      </c>
      <c r="T142" s="815">
        <v>15.7</v>
      </c>
      <c r="U142" s="815">
        <v>15.1</v>
      </c>
      <c r="V142" s="815">
        <v>14.5</v>
      </c>
      <c r="W142" s="816">
        <v>13.9</v>
      </c>
    </row>
    <row r="143" spans="2:23" ht="15" hidden="1" customHeight="1">
      <c r="C143" s="814">
        <v>20</v>
      </c>
      <c r="D143" s="815">
        <v>19.8</v>
      </c>
      <c r="E143" s="815">
        <v>19.7</v>
      </c>
      <c r="F143" s="815">
        <v>19.600000000000001</v>
      </c>
      <c r="G143" s="815">
        <v>19.5</v>
      </c>
      <c r="H143" s="815">
        <v>19.399999999999999</v>
      </c>
      <c r="I143" s="815">
        <v>19.3</v>
      </c>
      <c r="J143" s="815">
        <v>19.100000000000001</v>
      </c>
      <c r="K143" s="815">
        <v>19</v>
      </c>
      <c r="L143" s="815">
        <v>18.899999999999999</v>
      </c>
      <c r="M143" s="815">
        <v>18.8</v>
      </c>
      <c r="N143" s="815">
        <v>18.600000000000001</v>
      </c>
      <c r="O143" s="815">
        <v>18.5</v>
      </c>
      <c r="P143" s="815">
        <v>18.3</v>
      </c>
      <c r="Q143" s="815">
        <v>17.8</v>
      </c>
      <c r="R143" s="815">
        <v>17.399999999999999</v>
      </c>
      <c r="S143" s="815">
        <v>16.8</v>
      </c>
      <c r="T143" s="815">
        <v>16.2</v>
      </c>
      <c r="U143" s="815">
        <v>15.6</v>
      </c>
      <c r="V143" s="815">
        <v>15</v>
      </c>
      <c r="W143" s="816">
        <v>14.4</v>
      </c>
    </row>
    <row r="144" spans="2:23" ht="15" hidden="1" customHeight="1">
      <c r="C144" s="814">
        <v>20.5</v>
      </c>
      <c r="D144" s="815">
        <v>20.3</v>
      </c>
      <c r="E144" s="815">
        <v>20.2</v>
      </c>
      <c r="F144" s="815">
        <v>20.100000000000001</v>
      </c>
      <c r="G144" s="815">
        <v>20</v>
      </c>
      <c r="H144" s="815">
        <v>19.899999999999999</v>
      </c>
      <c r="I144" s="815">
        <v>19.8</v>
      </c>
      <c r="J144" s="815">
        <v>19.600000000000001</v>
      </c>
      <c r="K144" s="815">
        <v>19.5</v>
      </c>
      <c r="L144" s="815">
        <v>19.399999999999999</v>
      </c>
      <c r="M144" s="815">
        <v>19.3</v>
      </c>
      <c r="N144" s="815">
        <v>19.100000000000001</v>
      </c>
      <c r="O144" s="815">
        <v>19</v>
      </c>
      <c r="P144" s="815">
        <v>18.8</v>
      </c>
      <c r="Q144" s="815">
        <v>18.3</v>
      </c>
      <c r="R144" s="815">
        <v>17.899999999999999</v>
      </c>
      <c r="S144" s="815">
        <v>17.3</v>
      </c>
      <c r="T144" s="815">
        <v>16.7</v>
      </c>
      <c r="U144" s="815">
        <v>16.100000000000001</v>
      </c>
      <c r="V144" s="815">
        <v>15.5</v>
      </c>
      <c r="W144" s="816">
        <v>14.9</v>
      </c>
    </row>
    <row r="145" spans="3:23" ht="15" hidden="1" customHeight="1">
      <c r="C145" s="814">
        <v>21</v>
      </c>
      <c r="D145" s="815">
        <v>20.8</v>
      </c>
      <c r="E145" s="815">
        <v>20.7</v>
      </c>
      <c r="F145" s="815">
        <v>20.6</v>
      </c>
      <c r="G145" s="815">
        <v>20.5</v>
      </c>
      <c r="H145" s="815">
        <v>20.399999999999999</v>
      </c>
      <c r="I145" s="815">
        <v>20.3</v>
      </c>
      <c r="J145" s="815">
        <v>20.100000000000001</v>
      </c>
      <c r="K145" s="815">
        <v>20</v>
      </c>
      <c r="L145" s="815">
        <v>19.899999999999999</v>
      </c>
      <c r="M145" s="815">
        <v>19.7</v>
      </c>
      <c r="N145" s="815">
        <v>19.600000000000001</v>
      </c>
      <c r="O145" s="815">
        <v>19.399999999999999</v>
      </c>
      <c r="P145" s="815">
        <v>19.3</v>
      </c>
      <c r="Q145" s="815">
        <v>18.8</v>
      </c>
      <c r="R145" s="815">
        <v>18.399999999999999</v>
      </c>
      <c r="S145" s="815">
        <v>17.8</v>
      </c>
      <c r="T145" s="815">
        <v>17.2</v>
      </c>
      <c r="U145" s="815">
        <v>16.600000000000001</v>
      </c>
      <c r="V145" s="815">
        <v>16</v>
      </c>
      <c r="W145" s="816">
        <v>15.4</v>
      </c>
    </row>
    <row r="146" spans="3:23" ht="15" hidden="1" customHeight="1">
      <c r="C146" s="814">
        <v>22.1</v>
      </c>
      <c r="D146" s="815">
        <v>21.8</v>
      </c>
      <c r="E146" s="815">
        <v>21.7</v>
      </c>
      <c r="F146" s="815">
        <v>21.6</v>
      </c>
      <c r="G146" s="815">
        <v>21.5</v>
      </c>
      <c r="H146" s="815">
        <v>21.4</v>
      </c>
      <c r="I146" s="815">
        <v>21.3</v>
      </c>
      <c r="J146" s="815">
        <v>21.1</v>
      </c>
      <c r="K146" s="815">
        <v>21</v>
      </c>
      <c r="L146" s="815">
        <v>20.9</v>
      </c>
      <c r="M146" s="815">
        <v>20.8</v>
      </c>
      <c r="N146" s="815">
        <v>20.6</v>
      </c>
      <c r="O146" s="815">
        <v>20.5</v>
      </c>
      <c r="P146" s="815">
        <v>20.3</v>
      </c>
      <c r="Q146" s="815">
        <v>19.8</v>
      </c>
      <c r="R146" s="815">
        <v>19.399999999999999</v>
      </c>
      <c r="S146" s="815">
        <v>18.8</v>
      </c>
      <c r="T146" s="815">
        <v>18.2</v>
      </c>
      <c r="U146" s="815">
        <v>17.600000000000001</v>
      </c>
      <c r="V146" s="815">
        <v>17</v>
      </c>
      <c r="W146" s="816">
        <v>16.399999999999999</v>
      </c>
    </row>
    <row r="147" spans="3:23" ht="15" hidden="1" customHeight="1">
      <c r="C147" s="814">
        <v>23.1</v>
      </c>
      <c r="D147" s="815">
        <v>22.9</v>
      </c>
      <c r="E147" s="815">
        <v>22.8</v>
      </c>
      <c r="F147" s="815">
        <v>22.7</v>
      </c>
      <c r="G147" s="815">
        <v>22.5</v>
      </c>
      <c r="H147" s="815">
        <v>22.4</v>
      </c>
      <c r="I147" s="815">
        <v>22.3</v>
      </c>
      <c r="J147" s="815">
        <v>22.2</v>
      </c>
      <c r="K147" s="815">
        <v>22</v>
      </c>
      <c r="L147" s="815">
        <v>21.9</v>
      </c>
      <c r="M147" s="815">
        <v>21.8</v>
      </c>
      <c r="N147" s="815">
        <v>21.6</v>
      </c>
      <c r="O147" s="815">
        <v>21.4</v>
      </c>
      <c r="P147" s="815">
        <v>21.3</v>
      </c>
      <c r="Q147" s="815">
        <v>20.8</v>
      </c>
      <c r="R147" s="815">
        <v>20.399999999999999</v>
      </c>
      <c r="S147" s="815">
        <v>19.8</v>
      </c>
      <c r="T147" s="815">
        <v>19.2</v>
      </c>
      <c r="U147" s="815">
        <v>18.600000000000001</v>
      </c>
      <c r="V147" s="815">
        <v>18</v>
      </c>
      <c r="W147" s="816">
        <v>17.399999999999999</v>
      </c>
    </row>
    <row r="148" spans="3:23" ht="15" hidden="1" customHeight="1">
      <c r="C148" s="814">
        <v>24.1</v>
      </c>
      <c r="D148" s="815">
        <v>23.9</v>
      </c>
      <c r="E148" s="815">
        <v>23.8</v>
      </c>
      <c r="F148" s="815">
        <v>23.7</v>
      </c>
      <c r="G148" s="815">
        <v>23.5</v>
      </c>
      <c r="H148" s="815">
        <v>23.4</v>
      </c>
      <c r="I148" s="815">
        <v>23.3</v>
      </c>
      <c r="J148" s="815">
        <v>23.1</v>
      </c>
      <c r="K148" s="815">
        <v>23</v>
      </c>
      <c r="L148" s="815">
        <v>22.9</v>
      </c>
      <c r="M148" s="815">
        <v>22.8</v>
      </c>
      <c r="N148" s="815">
        <v>22.6</v>
      </c>
      <c r="O148" s="815">
        <v>22.4</v>
      </c>
      <c r="P148" s="815">
        <v>22.3</v>
      </c>
      <c r="Q148" s="815">
        <v>21.8</v>
      </c>
      <c r="R148" s="815">
        <v>21.4</v>
      </c>
      <c r="S148" s="815">
        <v>20.8</v>
      </c>
      <c r="T148" s="815">
        <v>20.2</v>
      </c>
      <c r="U148" s="815">
        <v>19.600000000000001</v>
      </c>
      <c r="V148" s="815">
        <v>19</v>
      </c>
      <c r="W148" s="816">
        <v>18.399999999999999</v>
      </c>
    </row>
    <row r="149" spans="3:23" ht="15" hidden="1" customHeight="1">
      <c r="C149" s="814">
        <v>25.1</v>
      </c>
      <c r="D149" s="815">
        <v>24.9</v>
      </c>
      <c r="E149" s="815">
        <v>24.8</v>
      </c>
      <c r="F149" s="815">
        <v>24.7</v>
      </c>
      <c r="G149" s="815">
        <v>24.5</v>
      </c>
      <c r="H149" s="815">
        <v>24.4</v>
      </c>
      <c r="I149" s="815">
        <v>24.3</v>
      </c>
      <c r="J149" s="815">
        <v>24.1</v>
      </c>
      <c r="K149" s="815">
        <v>24</v>
      </c>
      <c r="L149" s="815">
        <v>23.9</v>
      </c>
      <c r="M149" s="815">
        <v>23.7</v>
      </c>
      <c r="N149" s="815">
        <v>23.6</v>
      </c>
      <c r="O149" s="815">
        <v>23.4</v>
      </c>
      <c r="P149" s="815">
        <v>23.2</v>
      </c>
      <c r="Q149" s="815">
        <v>22.8</v>
      </c>
      <c r="R149" s="815">
        <v>22.4</v>
      </c>
      <c r="S149" s="815">
        <v>21.8</v>
      </c>
      <c r="T149" s="815">
        <v>21.2</v>
      </c>
      <c r="U149" s="815">
        <v>20.6</v>
      </c>
      <c r="V149" s="815">
        <v>20</v>
      </c>
      <c r="W149" s="816">
        <v>19.399999999999999</v>
      </c>
    </row>
    <row r="150" spans="3:23" ht="15" hidden="1" customHeight="1">
      <c r="C150" s="817">
        <v>26.1</v>
      </c>
      <c r="D150" s="818">
        <v>25.9</v>
      </c>
      <c r="E150" s="818">
        <v>25.8</v>
      </c>
      <c r="F150" s="818">
        <v>25.6</v>
      </c>
      <c r="G150" s="818">
        <v>25.5</v>
      </c>
      <c r="H150" s="818">
        <v>25.4</v>
      </c>
      <c r="I150" s="818">
        <v>25.3</v>
      </c>
      <c r="J150" s="818">
        <v>25.1</v>
      </c>
      <c r="K150" s="818">
        <v>25</v>
      </c>
      <c r="L150" s="818">
        <v>24.9</v>
      </c>
      <c r="M150" s="818">
        <v>24.7</v>
      </c>
      <c r="N150" s="818">
        <v>24.6</v>
      </c>
      <c r="O150" s="818">
        <v>24.4</v>
      </c>
      <c r="P150" s="818">
        <v>24.2</v>
      </c>
      <c r="Q150" s="818">
        <v>23.8</v>
      </c>
      <c r="R150" s="818">
        <v>23.3</v>
      </c>
      <c r="S150" s="818">
        <v>22.8</v>
      </c>
      <c r="T150" s="818">
        <v>22.2</v>
      </c>
      <c r="U150" s="818">
        <v>21.6</v>
      </c>
      <c r="V150" s="818">
        <v>21</v>
      </c>
      <c r="W150" s="819">
        <v>20.399999999999999</v>
      </c>
    </row>
    <row r="151" spans="3:23" ht="15" hidden="1" customHeight="1"/>
  </sheetData>
  <sheetProtection sheet="1" selectLockedCells="1"/>
  <mergeCells count="160">
    <mergeCell ref="G9:H9"/>
    <mergeCell ref="L9:M9"/>
    <mergeCell ref="W9:X9"/>
    <mergeCell ref="Q9:R9"/>
    <mergeCell ref="AB9:AC9"/>
    <mergeCell ref="X23:Y23"/>
    <mergeCell ref="AB14:AC14"/>
    <mergeCell ref="Q14:R14"/>
    <mergeCell ref="L14:M14"/>
    <mergeCell ref="W14:X14"/>
    <mergeCell ref="L12:M12"/>
    <mergeCell ref="Q12:R12"/>
    <mergeCell ref="W12:X12"/>
    <mergeCell ref="AB12:AC12"/>
    <mergeCell ref="R16:S16"/>
    <mergeCell ref="Z16:AA16"/>
    <mergeCell ref="S18:T18"/>
    <mergeCell ref="AB11:AC11"/>
    <mergeCell ref="AB13:AC13"/>
    <mergeCell ref="W10:X10"/>
    <mergeCell ref="W11:X11"/>
    <mergeCell ref="W13:X13"/>
    <mergeCell ref="S23:T23"/>
    <mergeCell ref="Z46:AA46"/>
    <mergeCell ref="AD46:AE46"/>
    <mergeCell ref="C45:D45"/>
    <mergeCell ref="G45:H45"/>
    <mergeCell ref="J45:K45"/>
    <mergeCell ref="M45:O45"/>
    <mergeCell ref="Q45:V45"/>
    <mergeCell ref="T64:U64"/>
    <mergeCell ref="AE64:AF64"/>
    <mergeCell ref="AD49:AE49"/>
    <mergeCell ref="Z63:AA63"/>
    <mergeCell ref="P52:Q52"/>
    <mergeCell ref="X52:Y52"/>
    <mergeCell ref="AD55:AE55"/>
    <mergeCell ref="X56:Y56"/>
    <mergeCell ref="AD56:AE56"/>
    <mergeCell ref="AE52:AF52"/>
    <mergeCell ref="G55:H55"/>
    <mergeCell ref="N55:O55"/>
    <mergeCell ref="X55:Y55"/>
    <mergeCell ref="Z49:AA49"/>
    <mergeCell ref="M46:O46"/>
    <mergeCell ref="Q46:V46"/>
    <mergeCell ref="AD18:AE18"/>
    <mergeCell ref="G19:H19"/>
    <mergeCell ref="S19:T19"/>
    <mergeCell ref="AD19:AE19"/>
    <mergeCell ref="S20:T20"/>
    <mergeCell ref="AD20:AE20"/>
    <mergeCell ref="AD21:AE21"/>
    <mergeCell ref="S22:T22"/>
    <mergeCell ref="AD22:AE22"/>
    <mergeCell ref="V38:W38"/>
    <mergeCell ref="Z38:AA38"/>
    <mergeCell ref="K34:S34"/>
    <mergeCell ref="T34:U34"/>
    <mergeCell ref="AD40:AE40"/>
    <mergeCell ref="AE31:AF31"/>
    <mergeCell ref="AE26:AF26"/>
    <mergeCell ref="AE29:AF29"/>
    <mergeCell ref="G26:H26"/>
    <mergeCell ref="Z26:AA26"/>
    <mergeCell ref="Q31:R31"/>
    <mergeCell ref="X31:Y31"/>
    <mergeCell ref="G29:H29"/>
    <mergeCell ref="O29:P29"/>
    <mergeCell ref="X29:Y29"/>
    <mergeCell ref="AE16:AF16"/>
    <mergeCell ref="Z47:AA47"/>
    <mergeCell ref="AD47:AE47"/>
    <mergeCell ref="C39:D39"/>
    <mergeCell ref="K39:S39"/>
    <mergeCell ref="T39:U39"/>
    <mergeCell ref="V39:W39"/>
    <mergeCell ref="Z39:AA39"/>
    <mergeCell ref="C37:D37"/>
    <mergeCell ref="K37:S37"/>
    <mergeCell ref="T37:U37"/>
    <mergeCell ref="V37:W37"/>
    <mergeCell ref="Z37:AA37"/>
    <mergeCell ref="K38:S38"/>
    <mergeCell ref="C47:D47"/>
    <mergeCell ref="G47:H47"/>
    <mergeCell ref="J47:K47"/>
    <mergeCell ref="M47:O47"/>
    <mergeCell ref="Q47:V47"/>
    <mergeCell ref="Z45:AA45"/>
    <mergeCell ref="AD45:AE45"/>
    <mergeCell ref="C46:D46"/>
    <mergeCell ref="G46:H46"/>
    <mergeCell ref="J46:K46"/>
    <mergeCell ref="AI2:AI3"/>
    <mergeCell ref="AK2:AK3"/>
    <mergeCell ref="L8:M8"/>
    <mergeCell ref="Q8:R8"/>
    <mergeCell ref="W8:X8"/>
    <mergeCell ref="AB8:AC8"/>
    <mergeCell ref="AB6:AC6"/>
    <mergeCell ref="AD3:AG3"/>
    <mergeCell ref="AD2:AG2"/>
    <mergeCell ref="J2:Z3"/>
    <mergeCell ref="L6:M6"/>
    <mergeCell ref="Q6:R6"/>
    <mergeCell ref="W6:X6"/>
    <mergeCell ref="Z65:AA65"/>
    <mergeCell ref="Z66:AA66"/>
    <mergeCell ref="X60:Y60"/>
    <mergeCell ref="U42:V42"/>
    <mergeCell ref="AD44:AE44"/>
    <mergeCell ref="M44:O44"/>
    <mergeCell ref="Q44:V44"/>
    <mergeCell ref="Z44:AA44"/>
    <mergeCell ref="AE59:AF59"/>
    <mergeCell ref="P51:Q51"/>
    <mergeCell ref="X51:Y51"/>
    <mergeCell ref="AE60:AF60"/>
    <mergeCell ref="T62:U62"/>
    <mergeCell ref="T63:U63"/>
    <mergeCell ref="AE63:AF63"/>
    <mergeCell ref="T65:U65"/>
    <mergeCell ref="AE65:AF65"/>
    <mergeCell ref="T66:U66"/>
    <mergeCell ref="AE66:AF66"/>
    <mergeCell ref="AE51:AF51"/>
    <mergeCell ref="C35:D35"/>
    <mergeCell ref="K35:S35"/>
    <mergeCell ref="T35:U35"/>
    <mergeCell ref="V35:W35"/>
    <mergeCell ref="Z35:AA35"/>
    <mergeCell ref="K36:S36"/>
    <mergeCell ref="T36:U36"/>
    <mergeCell ref="V36:W36"/>
    <mergeCell ref="Z36:AA36"/>
    <mergeCell ref="C44:D44"/>
    <mergeCell ref="G44:H44"/>
    <mergeCell ref="J44:K44"/>
    <mergeCell ref="AE42:AF42"/>
    <mergeCell ref="V40:W40"/>
    <mergeCell ref="Q58:R58"/>
    <mergeCell ref="X58:Y58"/>
    <mergeCell ref="X59:Y59"/>
    <mergeCell ref="L7:M7"/>
    <mergeCell ref="Q7:R7"/>
    <mergeCell ref="W7:X7"/>
    <mergeCell ref="AB7:AC7"/>
    <mergeCell ref="V34:W34"/>
    <mergeCell ref="Z34:AA34"/>
    <mergeCell ref="L10:M10"/>
    <mergeCell ref="L11:M11"/>
    <mergeCell ref="L13:M13"/>
    <mergeCell ref="Q10:R10"/>
    <mergeCell ref="Q11:R11"/>
    <mergeCell ref="Q13:R13"/>
    <mergeCell ref="Q26:R26"/>
    <mergeCell ref="AB10:AC10"/>
    <mergeCell ref="Z40:AA40"/>
    <mergeCell ref="T38:U38"/>
  </mergeCells>
  <conditionalFormatting sqref="J44">
    <cfRule type="notContainsBlanks" dxfId="382" priority="15">
      <formula>LEN(TRIM(J44))&gt;0</formula>
    </cfRule>
  </conditionalFormatting>
  <conditionalFormatting sqref="J45">
    <cfRule type="notContainsBlanks" dxfId="381" priority="9">
      <formula>LEN(TRIM(J45))&gt;0</formula>
    </cfRule>
  </conditionalFormatting>
  <conditionalFormatting sqref="J46">
    <cfRule type="notContainsBlanks" dxfId="380" priority="8">
      <formula>LEN(TRIM(J46))&gt;0</formula>
    </cfRule>
  </conditionalFormatting>
  <conditionalFormatting sqref="J47">
    <cfRule type="notContainsBlanks" dxfId="379" priority="7">
      <formula>LEN(TRIM(J47))&gt;0</formula>
    </cfRule>
  </conditionalFormatting>
  <conditionalFormatting sqref="V40:W40">
    <cfRule type="cellIs" dxfId="378" priority="1" operator="notEqual">
      <formula>100</formula>
    </cfRule>
  </conditionalFormatting>
  <dataValidations disablePrompts="1" count="4">
    <dataValidation type="list" allowBlank="1" showInputMessage="1" showErrorMessage="1" sqref="X44:X47" xr:uid="{A380AD6C-ED34-4C45-8EDD-0C9DE670E83B}">
      <formula1>"x"</formula1>
    </dataValidation>
    <dataValidation type="list" allowBlank="1" showInputMessage="1" showErrorMessage="1" sqref="Q45:V47" xr:uid="{06B2C9B9-9745-4015-A95D-F325533CFD88}">
      <formula1>"bitte wählen,Vorderwürze,nach Würzebruch"</formula1>
    </dataValidation>
    <dataValidation type="list" allowBlank="1" showInputMessage="1" showErrorMessage="1" sqref="M44:O47" xr:uid="{F95A249E-3B58-4626-A363-754F65BBBBF9}">
      <formula1>"wählen,Dolden,Pellets,Extrakt"</formula1>
    </dataValidation>
    <dataValidation type="list" allowBlank="1" showInputMessage="1" showErrorMessage="1" sqref="Q44:V44" xr:uid="{D2ABCB80-C1CF-4F7F-ADE9-F938E5E24FAB}">
      <formula1>"bitte wählen,zur Vorderwürze,nach Würzebruch"</formula1>
    </dataValidation>
  </dataValidations>
  <hyperlinks>
    <hyperlink ref="AK2" location="'2_brief_hza'!AM4" tooltip="Weiter zu Brief HZA" display="ð" xr:uid="{5972D0F8-0C39-4E5A-BAEE-2C6D6AED39B9}"/>
    <hyperlink ref="AI2" location="daten!A3" tooltip="zurück zu den Daten" display="ï" xr:uid="{09F58337-FFA7-4346-BFFD-8F52C26E2066}"/>
    <hyperlink ref="AJ2" location="start!A1" tooltip="zur Startseite" display="ñ" xr:uid="{30BB741F-53EF-4074-8FB4-C7EECBC7A6C6}"/>
    <hyperlink ref="AK2:AK3" location="'1_vorbereitung'!F6" tooltip="Weiter zu Vorbereitung" display="ð" xr:uid="{0AD7A473-08F9-45A1-B819-CF8CAE610933}"/>
  </hyperlinks>
  <printOptions horizontalCentered="1"/>
  <pageMargins left="0.70866141732283472" right="0.70866141732283472" top="0.78740157480314965" bottom="0.78740157480314965" header="0.51181102362204722" footer="0.51181102362204722"/>
  <pageSetup paperSize="9" orientation="portrait" r:id="rId1"/>
  <headerFooter alignWithMargins="0">
    <oddFooter>&amp;R&amp;"Arial,Fett"www.bierbrauerei.net</oddFooter>
  </headerFooter>
  <ignoredErrors>
    <ignoredError sqref="AE64" formula="1"/>
  </ignoredError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E29548B-C09A-46D4-B35A-CA416FCE4A27}">
          <x14:formula1>
            <xm:f>daten!$D$2:$D$59</xm:f>
          </x14:formula1>
          <xm:sqref>K34:S39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B1:AP132"/>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M2" sqref="AM2:AM3"/>
    </sheetView>
  </sheetViews>
  <sheetFormatPr baseColWidth="10" defaultColWidth="2.88671875" defaultRowHeight="15" customHeight="1"/>
  <cols>
    <col min="1" max="2" width="1.109375" style="51" customWidth="1"/>
    <col min="3" max="3" width="3.33203125" style="51" customWidth="1"/>
    <col min="4" max="4" width="2.88671875" style="51" customWidth="1"/>
    <col min="5" max="5" width="1" style="51" customWidth="1"/>
    <col min="6" max="8" width="2.88671875" style="51" customWidth="1"/>
    <col min="9" max="9" width="3.6640625" style="51" customWidth="1"/>
    <col min="10" max="12" width="2.88671875" style="51" customWidth="1"/>
    <col min="13" max="13" width="0.88671875" style="51" customWidth="1"/>
    <col min="14" max="14" width="3" style="51" customWidth="1"/>
    <col min="15" max="15" width="3.5546875" style="51" customWidth="1"/>
    <col min="16" max="16" width="0.88671875" style="51" customWidth="1"/>
    <col min="17" max="17" width="3" style="51" customWidth="1"/>
    <col min="18" max="18" width="3.5546875" style="51" customWidth="1"/>
    <col min="19" max="19" width="1.88671875" style="51" customWidth="1"/>
    <col min="20" max="23" width="2.88671875" style="51" customWidth="1"/>
    <col min="24" max="24" width="4.5546875" style="51" customWidth="1"/>
    <col min="25" max="26" width="2.88671875" style="51" customWidth="1"/>
    <col min="27" max="27" width="3.109375" style="51" customWidth="1"/>
    <col min="28" max="28" width="1" style="51" customWidth="1"/>
    <col min="29" max="29" width="3" style="51" customWidth="1"/>
    <col min="30" max="30" width="3.5546875" style="51" customWidth="1"/>
    <col min="31" max="31" width="1" style="51" customWidth="1"/>
    <col min="32" max="33" width="3.5546875" style="51" customWidth="1"/>
    <col min="34" max="34" width="0.6640625" style="51" customWidth="1"/>
    <col min="35" max="35" width="1.109375" style="51" customWidth="1"/>
    <col min="36" max="36" width="2.88671875" style="51" customWidth="1"/>
    <col min="37" max="39" width="3.109375" style="51" customWidth="1"/>
    <col min="40" max="16384" width="2.88671875" style="51"/>
  </cols>
  <sheetData>
    <row r="1" spans="2:39" ht="6" customHeight="1" thickBot="1"/>
    <row r="2" spans="2:39" ht="15" customHeight="1">
      <c r="B2" s="220"/>
      <c r="C2" s="221"/>
      <c r="D2" s="221"/>
      <c r="E2" s="221"/>
      <c r="F2" s="221"/>
      <c r="G2" s="221"/>
      <c r="H2" s="221"/>
      <c r="I2" s="221"/>
      <c r="J2" s="885" t="s">
        <v>157</v>
      </c>
      <c r="K2" s="886"/>
      <c r="L2" s="886"/>
      <c r="M2" s="886"/>
      <c r="N2" s="886"/>
      <c r="O2" s="886"/>
      <c r="P2" s="886"/>
      <c r="Q2" s="886"/>
      <c r="R2" s="886"/>
      <c r="S2" s="886"/>
      <c r="T2" s="886"/>
      <c r="U2" s="886"/>
      <c r="V2" s="886"/>
      <c r="W2" s="886"/>
      <c r="X2" s="886"/>
      <c r="Y2" s="886"/>
      <c r="Z2" s="887"/>
      <c r="AA2" s="52"/>
      <c r="AB2" s="52"/>
      <c r="AC2" s="52"/>
      <c r="AD2" s="854" t="s">
        <v>15</v>
      </c>
      <c r="AE2" s="883">
        <f>rechenfibel!AD2</f>
        <v>43590</v>
      </c>
      <c r="AF2" s="883"/>
      <c r="AG2" s="883"/>
      <c r="AH2" s="883"/>
      <c r="AI2" s="884"/>
      <c r="AK2" s="877" t="s">
        <v>246</v>
      </c>
      <c r="AL2" s="439" t="s">
        <v>832</v>
      </c>
      <c r="AM2" s="879" t="s">
        <v>242</v>
      </c>
    </row>
    <row r="3" spans="2:39" ht="15" customHeight="1" thickBot="1">
      <c r="B3" s="53"/>
      <c r="C3" s="54"/>
      <c r="D3" s="54"/>
      <c r="E3" s="216"/>
      <c r="F3" s="55"/>
      <c r="G3" s="54"/>
      <c r="H3" s="54"/>
      <c r="I3" s="54"/>
      <c r="J3" s="888"/>
      <c r="K3" s="889"/>
      <c r="L3" s="889"/>
      <c r="M3" s="889"/>
      <c r="N3" s="889"/>
      <c r="O3" s="889"/>
      <c r="P3" s="889"/>
      <c r="Q3" s="889"/>
      <c r="R3" s="889"/>
      <c r="S3" s="889"/>
      <c r="T3" s="889"/>
      <c r="U3" s="889"/>
      <c r="V3" s="889"/>
      <c r="W3" s="889"/>
      <c r="X3" s="889"/>
      <c r="Y3" s="889"/>
      <c r="Z3" s="890"/>
      <c r="AA3" s="56"/>
      <c r="AB3" s="402"/>
      <c r="AC3" s="402"/>
      <c r="AD3" s="56" t="s">
        <v>22</v>
      </c>
      <c r="AE3" s="906">
        <f>rechenfibel!AD3</f>
        <v>43556</v>
      </c>
      <c r="AF3" s="906"/>
      <c r="AG3" s="906"/>
      <c r="AH3" s="906"/>
      <c r="AI3" s="907"/>
      <c r="AK3" s="878"/>
      <c r="AL3" s="441"/>
      <c r="AM3" s="880"/>
    </row>
    <row r="4" spans="2:39" ht="3.75" customHeight="1" thickBot="1">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row>
    <row r="5" spans="2:39" ht="4.5" customHeight="1">
      <c r="B5" s="60"/>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2"/>
    </row>
    <row r="6" spans="2:39" ht="15" customHeight="1">
      <c r="B6" s="60"/>
      <c r="C6" s="61"/>
      <c r="E6" s="56" t="s">
        <v>70</v>
      </c>
      <c r="F6" s="912"/>
      <c r="G6" s="912"/>
      <c r="H6" s="912"/>
      <c r="I6" s="674"/>
      <c r="J6" s="674"/>
      <c r="L6" s="56" t="s">
        <v>0</v>
      </c>
      <c r="M6" s="908"/>
      <c r="N6" s="908"/>
      <c r="O6" s="908"/>
      <c r="P6" s="908"/>
      <c r="Q6" s="908"/>
      <c r="R6" s="908"/>
      <c r="S6" s="908"/>
      <c r="T6" s="61"/>
      <c r="U6" s="61"/>
      <c r="V6" s="61"/>
      <c r="W6" s="82" t="s">
        <v>350</v>
      </c>
      <c r="X6" s="911"/>
      <c r="Y6" s="911"/>
      <c r="Z6" s="911"/>
      <c r="AA6" s="911"/>
      <c r="AB6" s="911"/>
      <c r="AC6" s="911"/>
      <c r="AD6" s="911"/>
      <c r="AE6" s="911"/>
      <c r="AF6" s="911"/>
      <c r="AG6" s="911"/>
      <c r="AH6" s="911"/>
      <c r="AI6" s="62"/>
    </row>
    <row r="7" spans="2:39" ht="15" customHeight="1">
      <c r="B7" s="60"/>
      <c r="C7" s="61"/>
      <c r="D7" s="61"/>
      <c r="E7" s="82" t="s">
        <v>351</v>
      </c>
      <c r="F7" s="909"/>
      <c r="G7" s="909"/>
      <c r="H7" s="909"/>
      <c r="I7" s="909"/>
      <c r="J7" s="909"/>
      <c r="K7" s="909"/>
      <c r="L7" s="909"/>
      <c r="M7" s="909"/>
      <c r="N7" s="909"/>
      <c r="O7" s="909"/>
      <c r="P7" s="909"/>
      <c r="Q7" s="909"/>
      <c r="R7" s="909"/>
      <c r="S7" s="909"/>
      <c r="T7" s="61"/>
      <c r="U7" s="61"/>
      <c r="V7" s="61"/>
      <c r="W7" s="82" t="s">
        <v>357</v>
      </c>
      <c r="X7" s="1202"/>
      <c r="Y7" s="1202"/>
      <c r="Z7" s="1202"/>
      <c r="AA7" s="1202"/>
      <c r="AB7" s="1202"/>
      <c r="AC7" s="1202"/>
      <c r="AD7" s="1202"/>
      <c r="AE7" s="1202"/>
      <c r="AF7" s="1202"/>
      <c r="AG7" s="1202"/>
      <c r="AH7" s="1202"/>
      <c r="AI7" s="62"/>
    </row>
    <row r="8" spans="2:39" ht="15" customHeight="1">
      <c r="B8" s="60"/>
      <c r="C8" s="61"/>
      <c r="D8" s="61"/>
      <c r="E8" s="82" t="s">
        <v>352</v>
      </c>
      <c r="F8" s="913"/>
      <c r="G8" s="913"/>
      <c r="H8" s="913"/>
      <c r="I8" s="82" t="s">
        <v>353</v>
      </c>
      <c r="J8" s="910"/>
      <c r="K8" s="910"/>
      <c r="L8" s="910"/>
      <c r="M8" s="910"/>
      <c r="N8" s="910"/>
      <c r="O8" s="910"/>
      <c r="P8" s="910"/>
      <c r="Q8" s="910"/>
      <c r="R8" s="910"/>
      <c r="S8" s="910"/>
      <c r="T8" s="61"/>
      <c r="U8" s="61"/>
      <c r="V8" s="61"/>
      <c r="W8" s="82" t="s">
        <v>358</v>
      </c>
      <c r="X8" s="910"/>
      <c r="Y8" s="910"/>
      <c r="Z8" s="910"/>
      <c r="AA8" s="910"/>
      <c r="AB8" s="910"/>
      <c r="AC8" s="910"/>
      <c r="AD8" s="910"/>
      <c r="AE8" s="910"/>
      <c r="AF8" s="910"/>
      <c r="AG8" s="910"/>
      <c r="AH8" s="910"/>
      <c r="AI8" s="62"/>
    </row>
    <row r="9" spans="2:39" ht="4.5" customHeight="1">
      <c r="B9" s="60"/>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2"/>
    </row>
    <row r="10" spans="2:39" ht="15" customHeight="1">
      <c r="B10" s="60"/>
      <c r="C10" s="63" t="s">
        <v>71</v>
      </c>
      <c r="D10" s="64"/>
      <c r="E10" s="65"/>
      <c r="F10" s="65"/>
      <c r="G10" s="65"/>
      <c r="H10" s="65"/>
      <c r="I10" s="66"/>
      <c r="J10" s="64"/>
      <c r="K10" s="67"/>
      <c r="L10" s="67"/>
      <c r="M10" s="67"/>
      <c r="N10" s="66"/>
      <c r="O10" s="64"/>
      <c r="P10" s="68"/>
      <c r="Q10" s="68"/>
      <c r="R10" s="69"/>
      <c r="S10" s="68"/>
      <c r="T10" s="68"/>
      <c r="U10" s="68"/>
      <c r="V10" s="68"/>
      <c r="W10" s="68"/>
      <c r="X10" s="68"/>
      <c r="Y10" s="64"/>
      <c r="Z10" s="66"/>
      <c r="AA10" s="66"/>
      <c r="AB10" s="66"/>
      <c r="AC10" s="66"/>
      <c r="AD10" s="66"/>
      <c r="AE10" s="66"/>
      <c r="AF10" s="66"/>
      <c r="AG10" s="66"/>
      <c r="AH10" s="70"/>
      <c r="AI10" s="62"/>
    </row>
    <row r="11" spans="2:39" s="77" customFormat="1" ht="3" customHeight="1">
      <c r="B11" s="71"/>
      <c r="C11" s="73"/>
      <c r="D11" s="72"/>
      <c r="E11" s="74"/>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5"/>
      <c r="AI11" s="76"/>
    </row>
    <row r="12" spans="2:39" s="77" customFormat="1" ht="15" customHeight="1">
      <c r="B12" s="71"/>
      <c r="C12" s="78" t="s">
        <v>72</v>
      </c>
      <c r="D12" s="79" t="str">
        <f>IF(ISBLANK(AD12),"L","J")</f>
        <v>L</v>
      </c>
      <c r="E12" s="61"/>
      <c r="F12" s="414" t="s">
        <v>359</v>
      </c>
      <c r="G12" s="80"/>
      <c r="H12" s="80"/>
      <c r="I12" s="80"/>
      <c r="J12" s="80"/>
      <c r="K12" s="80"/>
      <c r="L12" s="80"/>
      <c r="M12" s="80"/>
      <c r="N12" s="80"/>
      <c r="O12" s="80"/>
      <c r="P12" s="80"/>
      <c r="Q12" s="80"/>
      <c r="R12" s="675"/>
      <c r="S12" s="899"/>
      <c r="T12" s="899"/>
      <c r="U12" s="899"/>
      <c r="V12" s="899"/>
      <c r="W12" s="428"/>
      <c r="X12" s="414"/>
      <c r="Y12" s="414"/>
      <c r="Z12" s="414"/>
      <c r="AA12" s="239"/>
      <c r="AB12" s="239"/>
      <c r="AC12" s="415" t="s">
        <v>73</v>
      </c>
      <c r="AD12" s="899"/>
      <c r="AE12" s="899"/>
      <c r="AF12" s="899"/>
      <c r="AG12" s="899"/>
      <c r="AH12" s="75"/>
      <c r="AI12" s="76"/>
    </row>
    <row r="13" spans="2:39" s="77" customFormat="1" ht="15" customHeight="1">
      <c r="B13" s="71"/>
      <c r="C13" s="84" t="s">
        <v>74</v>
      </c>
      <c r="D13" s="79" t="str">
        <f>IF(ISBLANK(AD13),"L","J")</f>
        <v>L</v>
      </c>
      <c r="E13" s="61"/>
      <c r="F13" s="414" t="s">
        <v>75</v>
      </c>
      <c r="G13" s="80"/>
      <c r="H13" s="80"/>
      <c r="I13" s="80"/>
      <c r="J13" s="80"/>
      <c r="K13" s="80"/>
      <c r="L13" s="80"/>
      <c r="M13" s="80"/>
      <c r="N13" s="80"/>
      <c r="O13" s="80"/>
      <c r="P13" s="80"/>
      <c r="Q13" s="80"/>
      <c r="R13" s="97"/>
      <c r="S13" s="900"/>
      <c r="T13" s="900"/>
      <c r="U13" s="900"/>
      <c r="V13" s="900"/>
      <c r="W13" s="82"/>
      <c r="X13" s="97"/>
      <c r="Y13" s="97"/>
      <c r="Z13" s="80"/>
      <c r="AA13" s="80"/>
      <c r="AB13" s="80"/>
      <c r="AC13" s="415" t="s">
        <v>76</v>
      </c>
      <c r="AD13" s="900"/>
      <c r="AE13" s="900"/>
      <c r="AF13" s="900"/>
      <c r="AG13" s="900"/>
      <c r="AH13" s="416"/>
      <c r="AI13" s="76"/>
    </row>
    <row r="14" spans="2:39" s="77" customFormat="1" ht="3" customHeight="1">
      <c r="B14" s="71"/>
      <c r="C14" s="85"/>
      <c r="D14" s="80"/>
      <c r="E14" s="86"/>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7"/>
      <c r="AI14" s="76"/>
    </row>
    <row r="15" spans="2:39" ht="4.5" customHeight="1">
      <c r="B15" s="60"/>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2"/>
    </row>
    <row r="16" spans="2:39" ht="15" customHeight="1">
      <c r="B16" s="60"/>
      <c r="C16" s="63" t="s">
        <v>797</v>
      </c>
      <c r="D16" s="64"/>
      <c r="E16" s="65"/>
      <c r="F16" s="65"/>
      <c r="G16" s="65"/>
      <c r="H16" s="65"/>
      <c r="I16" s="66"/>
      <c r="J16" s="64"/>
      <c r="K16" s="67"/>
      <c r="L16" s="67"/>
      <c r="M16" s="67"/>
      <c r="N16" s="918" t="s">
        <v>805</v>
      </c>
      <c r="O16" s="918"/>
      <c r="P16" s="68"/>
      <c r="Q16" s="918" t="s">
        <v>806</v>
      </c>
      <c r="R16" s="918"/>
      <c r="S16" s="68"/>
      <c r="T16" s="68"/>
      <c r="U16" s="68"/>
      <c r="V16" s="68"/>
      <c r="W16" s="68"/>
      <c r="X16" s="68"/>
      <c r="Y16" s="64"/>
      <c r="Z16" s="66"/>
      <c r="AA16" s="66"/>
      <c r="AB16" s="66"/>
      <c r="AC16" s="918" t="s">
        <v>805</v>
      </c>
      <c r="AD16" s="918"/>
      <c r="AE16" s="66"/>
      <c r="AF16" s="918" t="s">
        <v>806</v>
      </c>
      <c r="AG16" s="918"/>
      <c r="AH16" s="70"/>
      <c r="AI16" s="62"/>
    </row>
    <row r="17" spans="2:35" ht="4.5" customHeight="1">
      <c r="B17" s="60"/>
      <c r="C17" s="91"/>
      <c r="D17" s="61"/>
      <c r="E17" s="61"/>
      <c r="F17" s="61"/>
      <c r="G17" s="61"/>
      <c r="H17" s="61"/>
      <c r="I17" s="61"/>
      <c r="J17" s="61"/>
      <c r="K17" s="61"/>
      <c r="L17" s="61"/>
      <c r="M17" s="61"/>
      <c r="N17" s="919"/>
      <c r="O17" s="919"/>
      <c r="P17" s="61"/>
      <c r="Q17" s="919"/>
      <c r="R17" s="919"/>
      <c r="S17" s="61"/>
      <c r="T17" s="61"/>
      <c r="U17" s="61"/>
      <c r="V17" s="61"/>
      <c r="W17" s="61"/>
      <c r="X17" s="61"/>
      <c r="Y17" s="61"/>
      <c r="Z17" s="61"/>
      <c r="AA17" s="61"/>
      <c r="AB17" s="61"/>
      <c r="AC17" s="919"/>
      <c r="AD17" s="919"/>
      <c r="AE17" s="61"/>
      <c r="AF17" s="919"/>
      <c r="AG17" s="919"/>
      <c r="AH17" s="83"/>
      <c r="AI17" s="62"/>
    </row>
    <row r="18" spans="2:35" s="77" customFormat="1" ht="15" customHeight="1">
      <c r="B18" s="71"/>
      <c r="C18" s="401"/>
      <c r="D18" s="894" t="str">
        <f>IF(ISBLANK('3_rezeptkarte'!D19),"",'3_rezeptkarte'!D19)</f>
        <v>&lt;Malzsorte wählen&gt;</v>
      </c>
      <c r="E18" s="894"/>
      <c r="F18" s="894"/>
      <c r="G18" s="894"/>
      <c r="H18" s="894"/>
      <c r="I18" s="894"/>
      <c r="J18" s="894"/>
      <c r="K18" s="894"/>
      <c r="L18" s="894"/>
      <c r="M18" s="61"/>
      <c r="N18" s="923"/>
      <c r="O18" s="923"/>
      <c r="P18" s="61"/>
      <c r="Q18" s="903" t="str">
        <f>IF(ISERROR(VLOOKUP(D18,'3_rezeptkarte'!$AR$19:$AS$24,2,FALSE)*N18),"0,00 €",VLOOKUP(D18,'3_rezeptkarte'!$AR$19:$AS$24,2,FALSE)*N18)</f>
        <v>0,00 €</v>
      </c>
      <c r="R18" s="873"/>
      <c r="S18" s="61"/>
      <c r="T18" s="901" t="str">
        <f>IF(ISBLANK('3_rezeptkarte'!D22),"",'3_rezeptkarte'!D22)</f>
        <v>&lt;Malzsorte wählen&gt;</v>
      </c>
      <c r="U18" s="901"/>
      <c r="V18" s="901"/>
      <c r="W18" s="901"/>
      <c r="X18" s="901"/>
      <c r="Y18" s="901"/>
      <c r="Z18" s="901"/>
      <c r="AA18" s="901"/>
      <c r="AB18" s="61"/>
      <c r="AC18" s="923"/>
      <c r="AD18" s="923"/>
      <c r="AE18" s="61"/>
      <c r="AF18" s="903" t="str">
        <f>IF(ISERROR(VLOOKUP(T18,'3_rezeptkarte'!$AR$19:$AS$24,2,FALSE)*AC18),"0,00 €",VLOOKUP(T18,'3_rezeptkarte'!$AR$19:$AS$24,2,FALSE)*AC18)</f>
        <v>0,00 €</v>
      </c>
      <c r="AG18" s="873"/>
      <c r="AH18" s="83"/>
      <c r="AI18" s="76"/>
    </row>
    <row r="19" spans="2:35" s="77" customFormat="1" ht="15" customHeight="1">
      <c r="B19" s="71"/>
      <c r="C19" s="401"/>
      <c r="D19" s="1203" t="str">
        <f>IF(ISBLANK('3_rezeptkarte'!D20),"",'3_rezeptkarte'!D20)</f>
        <v>&lt;Malzsorte wählen&gt;</v>
      </c>
      <c r="E19" s="1203"/>
      <c r="F19" s="1203"/>
      <c r="G19" s="1203"/>
      <c r="H19" s="1203"/>
      <c r="I19" s="1203"/>
      <c r="J19" s="1203"/>
      <c r="K19" s="1203"/>
      <c r="L19" s="1203"/>
      <c r="M19" s="61"/>
      <c r="N19" s="902"/>
      <c r="O19" s="902"/>
      <c r="P19" s="61"/>
      <c r="Q19" s="903" t="str">
        <f>IF(ISERROR(VLOOKUP(D19,'3_rezeptkarte'!$AR$19:$AS$24,2,FALSE)*N19),"0,00 €",VLOOKUP(D19,'3_rezeptkarte'!$AR$19:$AS$24,2,FALSE)*N19)</f>
        <v>0,00 €</v>
      </c>
      <c r="R19" s="873"/>
      <c r="S19" s="61"/>
      <c r="T19" s="901" t="str">
        <f>IF(ISBLANK('3_rezeptkarte'!D23),"",'3_rezeptkarte'!D23)</f>
        <v>&lt;Malzsorte wählen&gt;</v>
      </c>
      <c r="U19" s="901"/>
      <c r="V19" s="901"/>
      <c r="W19" s="901"/>
      <c r="X19" s="901"/>
      <c r="Y19" s="901"/>
      <c r="Z19" s="901"/>
      <c r="AA19" s="901"/>
      <c r="AB19" s="61"/>
      <c r="AC19" s="902"/>
      <c r="AD19" s="902"/>
      <c r="AE19" s="61"/>
      <c r="AF19" s="903" t="str">
        <f>IF(ISERROR(VLOOKUP(T19,'3_rezeptkarte'!$AR$19:$AS$24,2,FALSE)*AC19),"0,00 €",VLOOKUP(T19,'3_rezeptkarte'!$AR$19:$AS$24,2,FALSE)*AC19)</f>
        <v>0,00 €</v>
      </c>
      <c r="AG19" s="873"/>
      <c r="AH19" s="83"/>
      <c r="AI19" s="76"/>
    </row>
    <row r="20" spans="2:35" s="77" customFormat="1" ht="15" customHeight="1">
      <c r="B20" s="71"/>
      <c r="C20" s="401"/>
      <c r="D20" s="895" t="str">
        <f>IF(ISBLANK('3_rezeptkarte'!D21),"",'3_rezeptkarte'!D21)</f>
        <v>&lt;Malzsorte wählen&gt;</v>
      </c>
      <c r="E20" s="895"/>
      <c r="F20" s="895"/>
      <c r="G20" s="895"/>
      <c r="H20" s="895"/>
      <c r="I20" s="895"/>
      <c r="J20" s="895"/>
      <c r="K20" s="895"/>
      <c r="L20" s="895"/>
      <c r="M20" s="61"/>
      <c r="N20" s="902"/>
      <c r="O20" s="902"/>
      <c r="P20" s="61"/>
      <c r="Q20" s="903" t="str">
        <f>IF(ISERROR(VLOOKUP(D20,'3_rezeptkarte'!$AR$19:$AS$24,2,FALSE)*N20),"0,00 €",VLOOKUP(D20,'3_rezeptkarte'!$AR$19:$AS$24,2,FALSE)*N20)</f>
        <v>0,00 €</v>
      </c>
      <c r="R20" s="873"/>
      <c r="S20" s="61"/>
      <c r="T20" s="901" t="str">
        <f>IF(ISBLANK('3_rezeptkarte'!D24),"",'3_rezeptkarte'!D24)</f>
        <v>&lt;Malzsorte wählen&gt;</v>
      </c>
      <c r="U20" s="901"/>
      <c r="V20" s="901"/>
      <c r="W20" s="901"/>
      <c r="X20" s="901"/>
      <c r="Y20" s="901"/>
      <c r="Z20" s="901"/>
      <c r="AA20" s="901"/>
      <c r="AB20" s="61"/>
      <c r="AC20" s="902"/>
      <c r="AD20" s="902"/>
      <c r="AE20" s="61"/>
      <c r="AF20" s="903" t="str">
        <f>IF(ISERROR(VLOOKUP(T20,'3_rezeptkarte'!$AR$19:$AS$24,2,FALSE)*AC20),"0,00 €",VLOOKUP(T20,'3_rezeptkarte'!$AR$19:$AS$24,2,FALSE)*AC20)</f>
        <v>0,00 €</v>
      </c>
      <c r="AG20" s="873"/>
      <c r="AH20" s="83"/>
      <c r="AI20" s="76"/>
    </row>
    <row r="21" spans="2:35" s="77" customFormat="1" ht="15" customHeight="1">
      <c r="B21" s="71"/>
      <c r="C21" s="91"/>
      <c r="D21" s="82"/>
      <c r="E21" s="61"/>
      <c r="F21" s="61"/>
      <c r="G21" s="61"/>
      <c r="H21" s="61"/>
      <c r="I21" s="61"/>
      <c r="J21" s="61"/>
      <c r="K21" s="61"/>
      <c r="L21" s="61"/>
      <c r="M21" s="61"/>
      <c r="N21" s="919" t="s">
        <v>804</v>
      </c>
      <c r="O21" s="919"/>
      <c r="P21" s="61"/>
      <c r="Q21" s="919" t="s">
        <v>806</v>
      </c>
      <c r="R21" s="919"/>
      <c r="S21" s="61"/>
      <c r="T21" s="61"/>
      <c r="U21" s="61"/>
      <c r="V21" s="61"/>
      <c r="W21" s="61"/>
      <c r="X21" s="61"/>
      <c r="Y21" s="61"/>
      <c r="Z21" s="61"/>
      <c r="AA21" s="61"/>
      <c r="AB21" s="61"/>
      <c r="AC21" s="919" t="s">
        <v>804</v>
      </c>
      <c r="AD21" s="919"/>
      <c r="AE21" s="61"/>
      <c r="AF21" s="919" t="s">
        <v>806</v>
      </c>
      <c r="AG21" s="919"/>
      <c r="AH21" s="83"/>
      <c r="AI21" s="76"/>
    </row>
    <row r="22" spans="2:35" s="77" customFormat="1" ht="15" customHeight="1">
      <c r="B22" s="71"/>
      <c r="C22" s="401"/>
      <c r="D22" s="894" t="str">
        <f>IF(ISBLANK('3_rezeptkarte'!J55),"",'3_rezeptkarte'!J55)</f>
        <v>&lt;Hopfensorte wählen&gt;</v>
      </c>
      <c r="E22" s="894"/>
      <c r="F22" s="894"/>
      <c r="G22" s="894"/>
      <c r="H22" s="894"/>
      <c r="I22" s="894"/>
      <c r="J22" s="894"/>
      <c r="K22" s="894"/>
      <c r="L22" s="894"/>
      <c r="M22" s="61"/>
      <c r="N22" s="923"/>
      <c r="O22" s="923"/>
      <c r="P22" s="61"/>
      <c r="Q22" s="903">
        <f>IF(ISERROR(VLOOKUP(D22,'3_rezeptkarte'!$AR$55:$AS$55,2,FALSE)/100*N22),"0,00 €",VLOOKUP(D22,'3_rezeptkarte'!$AR$55:$AS$55,2,FALSE)/100*N22)</f>
        <v>0</v>
      </c>
      <c r="R22" s="903"/>
      <c r="S22" s="61"/>
      <c r="T22" s="901" t="str">
        <f>IF(ISBLANK('3_rezeptkarte'!J67),"",'3_rezeptkarte'!J67)</f>
        <v>&lt;Hopfensorte wählen&gt;</v>
      </c>
      <c r="U22" s="901"/>
      <c r="V22" s="901"/>
      <c r="W22" s="901"/>
      <c r="X22" s="901"/>
      <c r="Y22" s="901"/>
      <c r="Z22" s="901"/>
      <c r="AA22" s="901"/>
      <c r="AB22" s="61"/>
      <c r="AC22" s="923"/>
      <c r="AD22" s="923"/>
      <c r="AE22" s="61"/>
      <c r="AF22" s="903">
        <f>IF(ISERROR(VLOOKUP(T22,'3_rezeptkarte'!$AR$67:$AS$67,2,FALSE)/100*AC22),"0,00 €",VLOOKUP(T22,'3_rezeptkarte'!$AR$67:$AS$67,2,FALSE)/100*AC22)</f>
        <v>0</v>
      </c>
      <c r="AG22" s="903"/>
      <c r="AH22" s="83"/>
      <c r="AI22" s="76"/>
    </row>
    <row r="23" spans="2:35" s="77" customFormat="1" ht="15" customHeight="1">
      <c r="B23" s="71"/>
      <c r="C23" s="401"/>
      <c r="D23" s="895" t="str">
        <f>IF(ISBLANK('3_rezeptkarte'!J58),"",'3_rezeptkarte'!J58)</f>
        <v>&lt;Hopfensorte wählen&gt;</v>
      </c>
      <c r="E23" s="895"/>
      <c r="F23" s="895"/>
      <c r="G23" s="895"/>
      <c r="H23" s="895"/>
      <c r="I23" s="895"/>
      <c r="J23" s="895"/>
      <c r="K23" s="895"/>
      <c r="L23" s="895"/>
      <c r="M23" s="61"/>
      <c r="N23" s="902"/>
      <c r="O23" s="902"/>
      <c r="P23" s="61"/>
      <c r="Q23" s="903">
        <f>IF(ISERROR(VLOOKUP(D23,'3_rezeptkarte'!$AR$58:$AS$58,2,FALSE)/100*N23),"0,00 €",VLOOKUP(D23,'3_rezeptkarte'!$AR$58:$AS$58,2,FALSE)/100*N23)</f>
        <v>0</v>
      </c>
      <c r="R23" s="903"/>
      <c r="S23" s="61"/>
      <c r="T23" s="901" t="str">
        <f>IF(ISBLANK('3_rezeptkarte'!U78),"",'3_rezeptkarte'!U78)</f>
        <v>&lt;Hopfensorte wählen&gt;</v>
      </c>
      <c r="U23" s="901"/>
      <c r="V23" s="901"/>
      <c r="W23" s="901"/>
      <c r="X23" s="901"/>
      <c r="Y23" s="901"/>
      <c r="Z23" s="901"/>
      <c r="AA23" s="901"/>
      <c r="AB23" s="61"/>
      <c r="AC23" s="902"/>
      <c r="AD23" s="902"/>
      <c r="AE23" s="61"/>
      <c r="AF23" s="903">
        <f>IF(ISERROR(VLOOKUP(T23,'3_rezeptkarte'!$AR$78:$AS$78,2,FALSE)/100*AC23),"0,00 €",VLOOKUP(T23,'3_rezeptkarte'!$AR$78:$AS$78,2,FALSE)/100*AC23)</f>
        <v>0</v>
      </c>
      <c r="AG23" s="903"/>
      <c r="AH23" s="83"/>
      <c r="AI23" s="76"/>
    </row>
    <row r="24" spans="2:35" s="77" customFormat="1" ht="15" customHeight="1">
      <c r="B24" s="71"/>
      <c r="C24" s="401"/>
      <c r="D24" s="895" t="str">
        <f>IF(ISBLANK('3_rezeptkarte'!J61),"",'3_rezeptkarte'!J61)</f>
        <v>&lt;Hopfensorte wählen&gt;</v>
      </c>
      <c r="E24" s="895"/>
      <c r="F24" s="895"/>
      <c r="G24" s="895"/>
      <c r="H24" s="895"/>
      <c r="I24" s="895"/>
      <c r="J24" s="895"/>
      <c r="K24" s="895"/>
      <c r="L24" s="895"/>
      <c r="M24" s="61"/>
      <c r="N24" s="902"/>
      <c r="O24" s="902"/>
      <c r="P24" s="61"/>
      <c r="Q24" s="903">
        <f>IF(ISERROR(VLOOKUP(D24,'3_rezeptkarte'!$AR$61:$AS$61,2,FALSE)/100*N24),"0,00 €",VLOOKUP(D24,'3_rezeptkarte'!$AR$61:$AS$61,2,FALSE)/100*N24)</f>
        <v>0</v>
      </c>
      <c r="R24" s="903"/>
      <c r="S24" s="61"/>
      <c r="T24" s="901" t="str">
        <f>IF(ISBLANK('3_rezeptkarte'!U79),"",'3_rezeptkarte'!U79)</f>
        <v>&lt;Hopfensorte wählen&gt;</v>
      </c>
      <c r="U24" s="901"/>
      <c r="V24" s="901"/>
      <c r="W24" s="901"/>
      <c r="X24" s="901"/>
      <c r="Y24" s="901"/>
      <c r="Z24" s="901"/>
      <c r="AA24" s="901"/>
      <c r="AB24" s="61"/>
      <c r="AC24" s="902"/>
      <c r="AD24" s="902"/>
      <c r="AE24" s="61"/>
      <c r="AF24" s="903">
        <f>IF(ISERROR(VLOOKUP(T24,'3_rezeptkarte'!$AR$79:$AS$79,2,FALSE)/100*AC24),"0,00 €",VLOOKUP(T24,'3_rezeptkarte'!$AR$79:$AS$79,2,FALSE)/100*AC24)</f>
        <v>0</v>
      </c>
      <c r="AG24" s="903"/>
      <c r="AH24" s="83"/>
      <c r="AI24" s="76"/>
    </row>
    <row r="25" spans="2:35" s="77" customFormat="1" ht="15" customHeight="1">
      <c r="B25" s="71"/>
      <c r="C25" s="401"/>
      <c r="D25" s="922" t="str">
        <f>IF(ISBLANK('3_rezeptkarte'!J64),"",'3_rezeptkarte'!J64)</f>
        <v>&lt;Hopfensorte wählen&gt;</v>
      </c>
      <c r="E25" s="922"/>
      <c r="F25" s="922"/>
      <c r="G25" s="922"/>
      <c r="H25" s="922"/>
      <c r="I25" s="922"/>
      <c r="J25" s="922"/>
      <c r="K25" s="922"/>
      <c r="L25" s="922"/>
      <c r="M25" s="61"/>
      <c r="N25" s="902"/>
      <c r="O25" s="902"/>
      <c r="P25" s="61"/>
      <c r="Q25" s="903">
        <f>IF(ISERROR(VLOOKUP(T22,'3_rezeptkarte'!$AR$64:$AS$64,2,FALSE)/100*N25),"0,00 €",VLOOKUP(T22,'3_rezeptkarte'!$AR$64:$AS$64,2,FALSE)/100*N25)</f>
        <v>0</v>
      </c>
      <c r="R25" s="903"/>
      <c r="S25" s="61"/>
      <c r="T25" s="61"/>
      <c r="U25" s="61"/>
      <c r="V25" s="61"/>
      <c r="W25" s="61"/>
      <c r="X25" s="61"/>
      <c r="Y25" s="61"/>
      <c r="Z25" s="61"/>
      <c r="AA25" s="61"/>
      <c r="AB25" s="61"/>
      <c r="AC25" s="61"/>
      <c r="AD25" s="61"/>
      <c r="AE25" s="61"/>
      <c r="AF25" s="919"/>
      <c r="AG25" s="919"/>
      <c r="AH25" s="83"/>
      <c r="AI25" s="76"/>
    </row>
    <row r="26" spans="2:35" s="77" customFormat="1" ht="15" customHeight="1">
      <c r="B26" s="71"/>
      <c r="C26" s="91"/>
      <c r="D26" s="82"/>
      <c r="E26" s="61"/>
      <c r="F26" s="61"/>
      <c r="G26" s="61"/>
      <c r="H26" s="61"/>
      <c r="I26" s="61"/>
      <c r="J26" s="61"/>
      <c r="K26" s="61"/>
      <c r="L26" s="61"/>
      <c r="M26" s="61"/>
      <c r="N26" s="61"/>
      <c r="O26" s="61"/>
      <c r="P26" s="61"/>
      <c r="Q26" s="61"/>
      <c r="R26" s="61"/>
      <c r="S26" s="61"/>
      <c r="T26" s="915" t="s">
        <v>1326</v>
      </c>
      <c r="U26" s="915"/>
      <c r="V26" s="915"/>
      <c r="W26" s="915"/>
      <c r="X26" s="915"/>
      <c r="Y26" s="915"/>
      <c r="Z26" s="915"/>
      <c r="AA26" s="915"/>
      <c r="AB26" s="915"/>
      <c r="AC26" s="915"/>
      <c r="AD26" s="915"/>
      <c r="AE26" s="61"/>
      <c r="AF26" s="914">
        <v>0</v>
      </c>
      <c r="AG26" s="914"/>
      <c r="AH26" s="83"/>
      <c r="AI26" s="76"/>
    </row>
    <row r="27" spans="2:35" s="77" customFormat="1" ht="15" customHeight="1">
      <c r="B27" s="71"/>
      <c r="C27" s="91"/>
      <c r="D27" s="921" t="str">
        <f>IF(ISBLANK('3_rezeptkarte'!T74),"",'3_rezeptkarte'!T74)</f>
        <v/>
      </c>
      <c r="E27" s="921"/>
      <c r="F27" s="921"/>
      <c r="G27" s="921"/>
      <c r="H27" s="921"/>
      <c r="I27" s="921"/>
      <c r="J27" s="921"/>
      <c r="K27" s="921"/>
      <c r="L27" s="921"/>
      <c r="M27" s="921"/>
      <c r="N27" s="921"/>
      <c r="O27" s="921"/>
      <c r="P27" s="61"/>
      <c r="Q27" s="914">
        <v>0</v>
      </c>
      <c r="R27" s="914"/>
      <c r="S27" s="61"/>
      <c r="T27" s="915" t="s">
        <v>1326</v>
      </c>
      <c r="U27" s="915"/>
      <c r="V27" s="915"/>
      <c r="W27" s="915"/>
      <c r="X27" s="915"/>
      <c r="Y27" s="915"/>
      <c r="Z27" s="915"/>
      <c r="AA27" s="915"/>
      <c r="AB27" s="915"/>
      <c r="AC27" s="915"/>
      <c r="AD27" s="915"/>
      <c r="AE27" s="61"/>
      <c r="AF27" s="914">
        <v>0</v>
      </c>
      <c r="AG27" s="914"/>
      <c r="AH27" s="83"/>
      <c r="AI27" s="76"/>
    </row>
    <row r="28" spans="2:35" ht="4.5" customHeight="1">
      <c r="B28" s="60"/>
      <c r="C28" s="9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83"/>
      <c r="AI28" s="62"/>
    </row>
    <row r="29" spans="2:35" s="77" customFormat="1" ht="15" customHeight="1">
      <c r="B29" s="71"/>
      <c r="C29" s="91"/>
      <c r="D29" s="82"/>
      <c r="E29" s="61"/>
      <c r="F29" s="61"/>
      <c r="G29" s="61"/>
      <c r="H29" s="61"/>
      <c r="I29" s="61"/>
      <c r="J29" s="61"/>
      <c r="K29" s="61"/>
      <c r="L29" s="61"/>
      <c r="M29" s="61"/>
      <c r="N29" s="61"/>
      <c r="O29" s="61"/>
      <c r="P29" s="61"/>
      <c r="Q29" s="61"/>
      <c r="R29" s="61"/>
      <c r="S29" s="61"/>
      <c r="T29" s="61"/>
      <c r="U29" s="61"/>
      <c r="V29" s="61"/>
      <c r="W29" s="61"/>
      <c r="X29" s="61"/>
      <c r="Y29" s="61"/>
      <c r="Z29" s="61"/>
      <c r="AA29" s="82"/>
      <c r="AB29" s="61"/>
      <c r="AC29" s="61"/>
      <c r="AD29" s="82" t="s">
        <v>798</v>
      </c>
      <c r="AE29" s="920">
        <f>IF(ISERROR(Q18+Q19+Q20+AF18+AF19+AF20+Q22+Q23+Q24+Q25+Q27+AF22+AF23+AF24+AF26+AF27),"",Q18+Q19+Q20+AF18+AF19+AF20+Q22+Q23+Q24+Q25+Q27+AF22+AF23+AF24+AF26+AF27)</f>
        <v>0</v>
      </c>
      <c r="AF29" s="920"/>
      <c r="AG29" s="920"/>
      <c r="AH29" s="83"/>
      <c r="AI29" s="76"/>
    </row>
    <row r="30" spans="2:35" s="77" customFormat="1" ht="3" customHeight="1">
      <c r="B30" s="71"/>
      <c r="C30" s="85"/>
      <c r="D30" s="80"/>
      <c r="E30" s="86"/>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7"/>
      <c r="AI30" s="76"/>
    </row>
    <row r="31" spans="2:35" ht="4.5" customHeight="1">
      <c r="B31" s="60"/>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2"/>
    </row>
    <row r="32" spans="2:35" ht="3" customHeight="1">
      <c r="B32" s="60"/>
      <c r="C32" s="98"/>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70"/>
      <c r="AI32" s="62"/>
    </row>
    <row r="33" spans="2:42" s="77" customFormat="1" ht="15" customHeight="1">
      <c r="B33" s="71"/>
      <c r="C33" s="397" t="s">
        <v>799</v>
      </c>
      <c r="D33" s="289"/>
      <c r="E33" s="61"/>
      <c r="F33" s="61"/>
      <c r="G33" s="61"/>
      <c r="H33" s="61"/>
      <c r="I33" s="61"/>
      <c r="J33" s="61"/>
      <c r="K33" s="61"/>
      <c r="L33" s="61"/>
      <c r="M33" s="61"/>
      <c r="N33" s="61"/>
      <c r="O33" s="61"/>
      <c r="P33" s="61"/>
      <c r="Q33" s="61"/>
      <c r="R33" s="82"/>
      <c r="S33" s="82"/>
      <c r="T33" s="398"/>
      <c r="U33" s="398"/>
      <c r="V33" s="398"/>
      <c r="W33" s="61"/>
      <c r="X33" s="61"/>
      <c r="Y33" s="61"/>
      <c r="Z33" s="61"/>
      <c r="AA33" s="61"/>
      <c r="AB33" s="399"/>
      <c r="AC33" s="400"/>
      <c r="AD33" s="400"/>
      <c r="AE33" s="61"/>
      <c r="AF33" s="399" t="s">
        <v>802</v>
      </c>
      <c r="AG33" s="413" t="str">
        <f>IF(X46=AF46,"J","L")</f>
        <v>L</v>
      </c>
      <c r="AH33" s="83"/>
      <c r="AI33" s="76"/>
    </row>
    <row r="34" spans="2:42" s="77" customFormat="1" ht="5.25" customHeight="1">
      <c r="B34" s="71"/>
      <c r="C34" s="9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83"/>
      <c r="AI34" s="76"/>
    </row>
    <row r="35" spans="2:42" s="77" customFormat="1" ht="18.75" customHeight="1">
      <c r="B35" s="71"/>
      <c r="C35" s="91"/>
      <c r="D35" s="896" t="s">
        <v>77</v>
      </c>
      <c r="E35" s="897"/>
      <c r="F35" s="897"/>
      <c r="G35" s="897"/>
      <c r="H35" s="897"/>
      <c r="I35" s="897"/>
      <c r="J35" s="897"/>
      <c r="K35" s="897"/>
      <c r="L35" s="897"/>
      <c r="M35" s="897"/>
      <c r="N35" s="897"/>
      <c r="O35" s="897"/>
      <c r="P35" s="897"/>
      <c r="Q35" s="898"/>
      <c r="R35" s="794"/>
      <c r="S35" s="304" t="b">
        <v>0</v>
      </c>
      <c r="T35" s="61"/>
      <c r="U35" s="896"/>
      <c r="V35" s="897"/>
      <c r="W35" s="897"/>
      <c r="X35" s="897"/>
      <c r="Y35" s="897"/>
      <c r="Z35" s="897"/>
      <c r="AA35" s="897"/>
      <c r="AB35" s="897"/>
      <c r="AC35" s="897"/>
      <c r="AD35" s="897"/>
      <c r="AE35" s="897"/>
      <c r="AF35" s="898"/>
      <c r="AG35" s="795"/>
      <c r="AH35" s="1201" t="b">
        <v>0</v>
      </c>
      <c r="AI35" s="76"/>
    </row>
    <row r="36" spans="2:42" s="77" customFormat="1" ht="18.75" customHeight="1">
      <c r="B36" s="71"/>
      <c r="C36" s="91"/>
      <c r="D36" s="896" t="s">
        <v>79</v>
      </c>
      <c r="E36" s="897"/>
      <c r="F36" s="897"/>
      <c r="G36" s="897"/>
      <c r="H36" s="897"/>
      <c r="I36" s="897"/>
      <c r="J36" s="897"/>
      <c r="K36" s="897"/>
      <c r="L36" s="897"/>
      <c r="M36" s="897"/>
      <c r="N36" s="897"/>
      <c r="O36" s="897"/>
      <c r="P36" s="897"/>
      <c r="Q36" s="898"/>
      <c r="R36" s="794"/>
      <c r="S36" s="304" t="b">
        <v>0</v>
      </c>
      <c r="T36" s="61"/>
      <c r="U36" s="896"/>
      <c r="V36" s="897"/>
      <c r="W36" s="897"/>
      <c r="X36" s="897"/>
      <c r="Y36" s="897"/>
      <c r="Z36" s="897"/>
      <c r="AA36" s="897"/>
      <c r="AB36" s="897"/>
      <c r="AC36" s="897"/>
      <c r="AD36" s="897"/>
      <c r="AE36" s="897"/>
      <c r="AF36" s="898"/>
      <c r="AG36" s="795"/>
      <c r="AH36" s="1201" t="b">
        <v>0</v>
      </c>
      <c r="AI36" s="76"/>
    </row>
    <row r="37" spans="2:42" s="77" customFormat="1" ht="18.75" customHeight="1">
      <c r="B37" s="71"/>
      <c r="C37" s="91"/>
      <c r="D37" s="896" t="s">
        <v>1245</v>
      </c>
      <c r="E37" s="897"/>
      <c r="F37" s="897"/>
      <c r="G37" s="897"/>
      <c r="H37" s="897"/>
      <c r="I37" s="897"/>
      <c r="J37" s="897"/>
      <c r="K37" s="897"/>
      <c r="L37" s="897"/>
      <c r="M37" s="897"/>
      <c r="N37" s="897"/>
      <c r="O37" s="897"/>
      <c r="P37" s="897"/>
      <c r="Q37" s="898"/>
      <c r="R37" s="794"/>
      <c r="S37" s="304" t="b">
        <v>1</v>
      </c>
      <c r="T37" s="61"/>
      <c r="U37" s="896"/>
      <c r="V37" s="897"/>
      <c r="W37" s="897"/>
      <c r="X37" s="897"/>
      <c r="Y37" s="897"/>
      <c r="Z37" s="897"/>
      <c r="AA37" s="897"/>
      <c r="AB37" s="897"/>
      <c r="AC37" s="897"/>
      <c r="AD37" s="897"/>
      <c r="AE37" s="897"/>
      <c r="AF37" s="898"/>
      <c r="AG37" s="795"/>
      <c r="AH37" s="1201" t="b">
        <v>0</v>
      </c>
      <c r="AI37" s="76"/>
    </row>
    <row r="38" spans="2:42" s="77" customFormat="1" ht="18.75" customHeight="1">
      <c r="B38" s="71"/>
      <c r="C38" s="91"/>
      <c r="D38" s="896"/>
      <c r="E38" s="897"/>
      <c r="F38" s="897"/>
      <c r="G38" s="897"/>
      <c r="H38" s="897"/>
      <c r="I38" s="897"/>
      <c r="J38" s="897"/>
      <c r="K38" s="897"/>
      <c r="L38" s="897"/>
      <c r="M38" s="897"/>
      <c r="N38" s="897"/>
      <c r="O38" s="897"/>
      <c r="P38" s="897"/>
      <c r="Q38" s="898"/>
      <c r="R38" s="794"/>
      <c r="S38" s="304" t="b">
        <v>0</v>
      </c>
      <c r="T38" s="61"/>
      <c r="U38" s="896"/>
      <c r="V38" s="897"/>
      <c r="W38" s="897"/>
      <c r="X38" s="897"/>
      <c r="Y38" s="897"/>
      <c r="Z38" s="897"/>
      <c r="AA38" s="897"/>
      <c r="AB38" s="897"/>
      <c r="AC38" s="897"/>
      <c r="AD38" s="897"/>
      <c r="AE38" s="897"/>
      <c r="AF38" s="898"/>
      <c r="AG38" s="795"/>
      <c r="AH38" s="1201" t="b">
        <v>0</v>
      </c>
      <c r="AI38" s="76"/>
    </row>
    <row r="39" spans="2:42" s="77" customFormat="1" ht="18.75" customHeight="1">
      <c r="B39" s="71"/>
      <c r="C39" s="91"/>
      <c r="D39" s="896"/>
      <c r="E39" s="897"/>
      <c r="F39" s="897"/>
      <c r="G39" s="897"/>
      <c r="H39" s="897"/>
      <c r="I39" s="897"/>
      <c r="J39" s="897"/>
      <c r="K39" s="897"/>
      <c r="L39" s="897"/>
      <c r="M39" s="897"/>
      <c r="N39" s="897"/>
      <c r="O39" s="897"/>
      <c r="P39" s="897"/>
      <c r="Q39" s="898"/>
      <c r="R39" s="794"/>
      <c r="S39" s="304" t="b">
        <v>0</v>
      </c>
      <c r="T39" s="61"/>
      <c r="U39" s="896"/>
      <c r="V39" s="897"/>
      <c r="W39" s="897"/>
      <c r="X39" s="897"/>
      <c r="Y39" s="897"/>
      <c r="Z39" s="897"/>
      <c r="AA39" s="897"/>
      <c r="AB39" s="897"/>
      <c r="AC39" s="897"/>
      <c r="AD39" s="897"/>
      <c r="AE39" s="897"/>
      <c r="AF39" s="898"/>
      <c r="AG39" s="795"/>
      <c r="AH39" s="1201" t="b">
        <v>0</v>
      </c>
      <c r="AI39" s="76"/>
    </row>
    <row r="40" spans="2:42" s="77" customFormat="1" ht="18.75" customHeight="1">
      <c r="B40" s="71"/>
      <c r="C40" s="91"/>
      <c r="D40" s="896"/>
      <c r="E40" s="897"/>
      <c r="F40" s="897"/>
      <c r="G40" s="897"/>
      <c r="H40" s="897"/>
      <c r="I40" s="897"/>
      <c r="J40" s="897"/>
      <c r="K40" s="897"/>
      <c r="L40" s="897"/>
      <c r="M40" s="897"/>
      <c r="N40" s="897"/>
      <c r="O40" s="897"/>
      <c r="P40" s="897"/>
      <c r="Q40" s="898"/>
      <c r="R40" s="794"/>
      <c r="S40" s="304" t="b">
        <v>0</v>
      </c>
      <c r="T40" s="61"/>
      <c r="U40" s="896"/>
      <c r="V40" s="897"/>
      <c r="W40" s="897"/>
      <c r="X40" s="897"/>
      <c r="Y40" s="897"/>
      <c r="Z40" s="897"/>
      <c r="AA40" s="897"/>
      <c r="AB40" s="897"/>
      <c r="AC40" s="897"/>
      <c r="AD40" s="897"/>
      <c r="AE40" s="897"/>
      <c r="AF40" s="898"/>
      <c r="AG40" s="795"/>
      <c r="AH40" s="1201" t="b">
        <v>0</v>
      </c>
      <c r="AI40" s="76"/>
    </row>
    <row r="41" spans="2:42" s="77" customFormat="1" ht="18.75" customHeight="1">
      <c r="B41" s="71"/>
      <c r="C41" s="91"/>
      <c r="D41" s="896"/>
      <c r="E41" s="897"/>
      <c r="F41" s="897"/>
      <c r="G41" s="897"/>
      <c r="H41" s="897"/>
      <c r="I41" s="897"/>
      <c r="J41" s="897"/>
      <c r="K41" s="897"/>
      <c r="L41" s="897"/>
      <c r="M41" s="897"/>
      <c r="N41" s="897"/>
      <c r="O41" s="897"/>
      <c r="P41" s="897"/>
      <c r="Q41" s="898"/>
      <c r="R41" s="794"/>
      <c r="S41" s="304" t="b">
        <v>0</v>
      </c>
      <c r="T41" s="61"/>
      <c r="U41" s="896"/>
      <c r="V41" s="897"/>
      <c r="W41" s="897"/>
      <c r="X41" s="897"/>
      <c r="Y41" s="897"/>
      <c r="Z41" s="897"/>
      <c r="AA41" s="897"/>
      <c r="AB41" s="897"/>
      <c r="AC41" s="897"/>
      <c r="AD41" s="897"/>
      <c r="AE41" s="897"/>
      <c r="AF41" s="898"/>
      <c r="AG41" s="795"/>
      <c r="AH41" s="1201" t="b">
        <v>0</v>
      </c>
      <c r="AI41" s="76"/>
    </row>
    <row r="42" spans="2:42" s="77" customFormat="1" ht="18.75" customHeight="1">
      <c r="B42" s="71"/>
      <c r="C42" s="91"/>
      <c r="D42" s="896"/>
      <c r="E42" s="897"/>
      <c r="F42" s="897"/>
      <c r="G42" s="897"/>
      <c r="H42" s="897"/>
      <c r="I42" s="897"/>
      <c r="J42" s="897"/>
      <c r="K42" s="897"/>
      <c r="L42" s="897"/>
      <c r="M42" s="897"/>
      <c r="N42" s="897"/>
      <c r="O42" s="897"/>
      <c r="P42" s="897"/>
      <c r="Q42" s="898"/>
      <c r="R42" s="794"/>
      <c r="S42" s="304" t="b">
        <v>0</v>
      </c>
      <c r="T42" s="61"/>
      <c r="U42" s="896"/>
      <c r="V42" s="897"/>
      <c r="W42" s="897"/>
      <c r="X42" s="897"/>
      <c r="Y42" s="897"/>
      <c r="Z42" s="897"/>
      <c r="AA42" s="897"/>
      <c r="AB42" s="897"/>
      <c r="AC42" s="897"/>
      <c r="AD42" s="897"/>
      <c r="AE42" s="897"/>
      <c r="AF42" s="898"/>
      <c r="AG42" s="795"/>
      <c r="AH42" s="1201" t="b">
        <v>0</v>
      </c>
      <c r="AI42" s="76"/>
    </row>
    <row r="43" spans="2:42" s="77" customFormat="1" ht="18.75" customHeight="1">
      <c r="B43" s="71"/>
      <c r="C43" s="91"/>
      <c r="D43" s="896"/>
      <c r="E43" s="897"/>
      <c r="F43" s="897"/>
      <c r="G43" s="897"/>
      <c r="H43" s="897"/>
      <c r="I43" s="897"/>
      <c r="J43" s="897"/>
      <c r="K43" s="897"/>
      <c r="L43" s="897"/>
      <c r="M43" s="897"/>
      <c r="N43" s="897"/>
      <c r="O43" s="897"/>
      <c r="P43" s="897"/>
      <c r="Q43" s="898"/>
      <c r="R43" s="794"/>
      <c r="S43" s="304" t="b">
        <v>0</v>
      </c>
      <c r="T43" s="61"/>
      <c r="U43" s="896"/>
      <c r="V43" s="897"/>
      <c r="W43" s="897"/>
      <c r="X43" s="897"/>
      <c r="Y43" s="897"/>
      <c r="Z43" s="897"/>
      <c r="AA43" s="897"/>
      <c r="AB43" s="897"/>
      <c r="AC43" s="897"/>
      <c r="AD43" s="897"/>
      <c r="AE43" s="897"/>
      <c r="AF43" s="898"/>
      <c r="AG43" s="795"/>
      <c r="AH43" s="1201" t="b">
        <v>0</v>
      </c>
      <c r="AI43" s="76"/>
    </row>
    <row r="44" spans="2:42" s="77" customFormat="1" ht="18.75" customHeight="1">
      <c r="B44" s="71"/>
      <c r="C44" s="91"/>
      <c r="D44" s="896"/>
      <c r="E44" s="897"/>
      <c r="F44" s="897"/>
      <c r="G44" s="897"/>
      <c r="H44" s="897"/>
      <c r="I44" s="897"/>
      <c r="J44" s="897"/>
      <c r="K44" s="897"/>
      <c r="L44" s="897"/>
      <c r="M44" s="897"/>
      <c r="N44" s="897"/>
      <c r="O44" s="897"/>
      <c r="P44" s="897"/>
      <c r="Q44" s="898"/>
      <c r="R44" s="794"/>
      <c r="S44" s="304" t="b">
        <v>0</v>
      </c>
      <c r="T44" s="61"/>
      <c r="U44" s="896"/>
      <c r="V44" s="897"/>
      <c r="W44" s="897"/>
      <c r="X44" s="897"/>
      <c r="Y44" s="897"/>
      <c r="Z44" s="897"/>
      <c r="AA44" s="897"/>
      <c r="AB44" s="897"/>
      <c r="AC44" s="897"/>
      <c r="AD44" s="897"/>
      <c r="AE44" s="897"/>
      <c r="AF44" s="898"/>
      <c r="AG44" s="795"/>
      <c r="AH44" s="1201" t="b">
        <v>0</v>
      </c>
      <c r="AI44" s="76"/>
    </row>
    <row r="45" spans="2:42" s="77" customFormat="1" ht="18.75" customHeight="1">
      <c r="B45" s="71"/>
      <c r="C45" s="91"/>
      <c r="D45" s="896"/>
      <c r="E45" s="897"/>
      <c r="F45" s="897"/>
      <c r="G45" s="897"/>
      <c r="H45" s="897"/>
      <c r="I45" s="897"/>
      <c r="J45" s="897"/>
      <c r="K45" s="897"/>
      <c r="L45" s="897"/>
      <c r="M45" s="897"/>
      <c r="N45" s="897"/>
      <c r="O45" s="897"/>
      <c r="P45" s="897"/>
      <c r="Q45" s="898"/>
      <c r="R45" s="794"/>
      <c r="S45" s="304" t="b">
        <v>0</v>
      </c>
      <c r="T45" s="61"/>
      <c r="U45" s="896"/>
      <c r="V45" s="897"/>
      <c r="W45" s="897"/>
      <c r="X45" s="897"/>
      <c r="Y45" s="897"/>
      <c r="Z45" s="897"/>
      <c r="AA45" s="897"/>
      <c r="AB45" s="897"/>
      <c r="AC45" s="897"/>
      <c r="AD45" s="897"/>
      <c r="AE45" s="897"/>
      <c r="AF45" s="898"/>
      <c r="AG45" s="795"/>
      <c r="AH45" s="1201" t="b">
        <v>0</v>
      </c>
      <c r="AI45" s="76"/>
    </row>
    <row r="46" spans="2:42" s="77" customFormat="1" ht="18.75" customHeight="1">
      <c r="B46" s="71"/>
      <c r="C46" s="91"/>
      <c r="D46" s="896"/>
      <c r="E46" s="897"/>
      <c r="F46" s="897"/>
      <c r="G46" s="897"/>
      <c r="H46" s="897"/>
      <c r="I46" s="897"/>
      <c r="J46" s="897"/>
      <c r="K46" s="897"/>
      <c r="L46" s="897"/>
      <c r="M46" s="897"/>
      <c r="N46" s="897"/>
      <c r="O46" s="897"/>
      <c r="P46" s="897"/>
      <c r="Q46" s="898"/>
      <c r="R46" s="794"/>
      <c r="S46" s="304" t="b">
        <v>0</v>
      </c>
      <c r="T46" s="61"/>
      <c r="U46" s="66"/>
      <c r="V46" s="66"/>
      <c r="W46" s="64" t="s">
        <v>801</v>
      </c>
      <c r="X46" s="904">
        <f>COUNTA(D35:O46,U35:AD45)</f>
        <v>3</v>
      </c>
      <c r="Y46" s="905"/>
      <c r="Z46" s="66"/>
      <c r="AA46" s="66"/>
      <c r="AB46" s="66"/>
      <c r="AC46" s="64"/>
      <c r="AD46" s="66"/>
      <c r="AE46" s="403" t="s">
        <v>803</v>
      </c>
      <c r="AF46" s="904">
        <f>COUNTIF(S35:S46,TRUE)+COUNTIF(AH35:AH45,TRUE)</f>
        <v>1</v>
      </c>
      <c r="AG46" s="905"/>
      <c r="AH46" s="83"/>
      <c r="AI46" s="76"/>
      <c r="AP46" s="841">
        <f>X46-AF46</f>
        <v>2</v>
      </c>
    </row>
    <row r="47" spans="2:42" s="77" customFormat="1" ht="3" customHeight="1">
      <c r="B47" s="71"/>
      <c r="C47" s="85"/>
      <c r="D47" s="80"/>
      <c r="E47" s="86"/>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7"/>
      <c r="AI47" s="76"/>
    </row>
    <row r="48" spans="2:42" ht="4.5" customHeight="1">
      <c r="B48" s="60"/>
      <c r="C48" s="61"/>
      <c r="D48" s="61"/>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2"/>
    </row>
    <row r="49" spans="2:35" s="77" customFormat="1" ht="15" customHeight="1">
      <c r="B49" s="71"/>
      <c r="C49" s="63" t="s">
        <v>800</v>
      </c>
      <c r="D49" s="68"/>
      <c r="E49" s="66"/>
      <c r="F49" s="66"/>
      <c r="G49" s="66"/>
      <c r="H49" s="66"/>
      <c r="I49" s="66"/>
      <c r="J49" s="66"/>
      <c r="K49" s="66"/>
      <c r="L49" s="66"/>
      <c r="M49" s="66"/>
      <c r="N49" s="66"/>
      <c r="O49" s="66"/>
      <c r="P49" s="66"/>
      <c r="Q49" s="66"/>
      <c r="R49" s="64"/>
      <c r="S49" s="64"/>
      <c r="T49" s="88"/>
      <c r="U49" s="88"/>
      <c r="V49" s="88"/>
      <c r="W49" s="66"/>
      <c r="X49" s="66"/>
      <c r="Y49" s="66"/>
      <c r="Z49" s="66"/>
      <c r="AA49" s="89"/>
      <c r="AB49" s="90"/>
      <c r="AC49" s="90"/>
      <c r="AD49" s="90"/>
      <c r="AE49" s="90"/>
      <c r="AF49" s="90"/>
      <c r="AG49" s="90"/>
      <c r="AH49" s="70"/>
      <c r="AI49" s="76"/>
    </row>
    <row r="50" spans="2:35" s="77" customFormat="1" ht="5.25" customHeight="1">
      <c r="B50" s="71"/>
      <c r="C50" s="9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83"/>
      <c r="AI50" s="76"/>
    </row>
    <row r="51" spans="2:35" s="77" customFormat="1" ht="18.75" customHeight="1">
      <c r="B51" s="71"/>
      <c r="C51" s="91"/>
      <c r="D51" s="896"/>
      <c r="E51" s="897"/>
      <c r="F51" s="897"/>
      <c r="G51" s="897"/>
      <c r="H51" s="897"/>
      <c r="I51" s="897"/>
      <c r="J51" s="897"/>
      <c r="K51" s="897"/>
      <c r="L51" s="897"/>
      <c r="M51" s="897"/>
      <c r="N51" s="897"/>
      <c r="O51" s="897"/>
      <c r="P51" s="897"/>
      <c r="Q51" s="898"/>
      <c r="R51" s="794"/>
      <c r="S51" s="304"/>
      <c r="T51" s="61"/>
      <c r="U51" s="896"/>
      <c r="V51" s="897"/>
      <c r="W51" s="897"/>
      <c r="X51" s="897"/>
      <c r="Y51" s="897"/>
      <c r="Z51" s="897"/>
      <c r="AA51" s="897"/>
      <c r="AB51" s="897"/>
      <c r="AC51" s="897"/>
      <c r="AD51" s="897"/>
      <c r="AE51" s="897"/>
      <c r="AF51" s="898"/>
      <c r="AG51" s="795"/>
      <c r="AH51" s="1201"/>
      <c r="AI51" s="76"/>
    </row>
    <row r="52" spans="2:35" s="77" customFormat="1" ht="18.75" customHeight="1">
      <c r="B52" s="71"/>
      <c r="C52" s="91"/>
      <c r="D52" s="896"/>
      <c r="E52" s="897"/>
      <c r="F52" s="897"/>
      <c r="G52" s="897"/>
      <c r="H52" s="897"/>
      <c r="I52" s="897"/>
      <c r="J52" s="897"/>
      <c r="K52" s="897"/>
      <c r="L52" s="897"/>
      <c r="M52" s="897"/>
      <c r="N52" s="897"/>
      <c r="O52" s="897"/>
      <c r="P52" s="897"/>
      <c r="Q52" s="898"/>
      <c r="R52" s="794"/>
      <c r="S52" s="304"/>
      <c r="T52" s="61"/>
      <c r="U52" s="896"/>
      <c r="V52" s="897"/>
      <c r="W52" s="897"/>
      <c r="X52" s="897"/>
      <c r="Y52" s="897"/>
      <c r="Z52" s="897"/>
      <c r="AA52" s="897"/>
      <c r="AB52" s="897"/>
      <c r="AC52" s="897"/>
      <c r="AD52" s="897"/>
      <c r="AE52" s="897"/>
      <c r="AF52" s="898"/>
      <c r="AG52" s="795"/>
      <c r="AH52" s="1201"/>
      <c r="AI52" s="76"/>
    </row>
    <row r="53" spans="2:35" s="77" customFormat="1" ht="18.75" customHeight="1">
      <c r="B53" s="71"/>
      <c r="C53" s="91"/>
      <c r="D53" s="896"/>
      <c r="E53" s="897"/>
      <c r="F53" s="897"/>
      <c r="G53" s="897"/>
      <c r="H53" s="897"/>
      <c r="I53" s="897"/>
      <c r="J53" s="897"/>
      <c r="K53" s="897"/>
      <c r="L53" s="897"/>
      <c r="M53" s="897"/>
      <c r="N53" s="897"/>
      <c r="O53" s="897"/>
      <c r="P53" s="897"/>
      <c r="Q53" s="898"/>
      <c r="R53" s="794"/>
      <c r="S53" s="304"/>
      <c r="T53" s="61"/>
      <c r="U53" s="896"/>
      <c r="V53" s="897"/>
      <c r="W53" s="897"/>
      <c r="X53" s="897"/>
      <c r="Y53" s="897"/>
      <c r="Z53" s="897"/>
      <c r="AA53" s="897"/>
      <c r="AB53" s="897"/>
      <c r="AC53" s="897"/>
      <c r="AD53" s="897"/>
      <c r="AE53" s="897"/>
      <c r="AF53" s="898"/>
      <c r="AG53" s="795"/>
      <c r="AH53" s="1201"/>
      <c r="AI53" s="76"/>
    </row>
    <row r="54" spans="2:35" s="77" customFormat="1" ht="18.75" customHeight="1">
      <c r="B54" s="71"/>
      <c r="C54" s="91"/>
      <c r="D54" s="896"/>
      <c r="E54" s="897"/>
      <c r="F54" s="897"/>
      <c r="G54" s="897"/>
      <c r="H54" s="897"/>
      <c r="I54" s="897"/>
      <c r="J54" s="897"/>
      <c r="K54" s="897"/>
      <c r="L54" s="897"/>
      <c r="M54" s="897"/>
      <c r="N54" s="897"/>
      <c r="O54" s="897"/>
      <c r="P54" s="897"/>
      <c r="Q54" s="898"/>
      <c r="R54" s="794"/>
      <c r="S54" s="304"/>
      <c r="T54" s="61"/>
      <c r="U54" s="896"/>
      <c r="V54" s="897"/>
      <c r="W54" s="897"/>
      <c r="X54" s="897"/>
      <c r="Y54" s="897"/>
      <c r="Z54" s="897"/>
      <c r="AA54" s="897"/>
      <c r="AB54" s="897"/>
      <c r="AC54" s="897"/>
      <c r="AD54" s="897"/>
      <c r="AE54" s="897"/>
      <c r="AF54" s="898"/>
      <c r="AG54" s="795"/>
      <c r="AH54" s="1201"/>
      <c r="AI54" s="76"/>
    </row>
    <row r="55" spans="2:35" s="77" customFormat="1" ht="18.75" customHeight="1">
      <c r="B55" s="71"/>
      <c r="C55" s="91"/>
      <c r="D55" s="896"/>
      <c r="E55" s="897"/>
      <c r="F55" s="897"/>
      <c r="G55" s="897"/>
      <c r="H55" s="897"/>
      <c r="I55" s="897"/>
      <c r="J55" s="897"/>
      <c r="K55" s="897"/>
      <c r="L55" s="897"/>
      <c r="M55" s="897"/>
      <c r="N55" s="897"/>
      <c r="O55" s="897"/>
      <c r="P55" s="897"/>
      <c r="Q55" s="898"/>
      <c r="R55" s="794"/>
      <c r="S55" s="304"/>
      <c r="T55" s="61"/>
      <c r="U55" s="896"/>
      <c r="V55" s="897"/>
      <c r="W55" s="897"/>
      <c r="X55" s="897"/>
      <c r="Y55" s="897"/>
      <c r="Z55" s="897"/>
      <c r="AA55" s="897"/>
      <c r="AB55" s="897"/>
      <c r="AC55" s="897"/>
      <c r="AD55" s="897"/>
      <c r="AE55" s="897"/>
      <c r="AF55" s="898"/>
      <c r="AG55" s="795"/>
      <c r="AH55" s="1201"/>
      <c r="AI55" s="76"/>
    </row>
    <row r="56" spans="2:35" s="77" customFormat="1" ht="18.75" customHeight="1">
      <c r="B56" s="71"/>
      <c r="C56" s="91"/>
      <c r="D56" s="896"/>
      <c r="E56" s="897"/>
      <c r="F56" s="897"/>
      <c r="G56" s="897"/>
      <c r="H56" s="897"/>
      <c r="I56" s="897"/>
      <c r="J56" s="897"/>
      <c r="K56" s="897"/>
      <c r="L56" s="897"/>
      <c r="M56" s="897"/>
      <c r="N56" s="916"/>
      <c r="O56" s="917"/>
      <c r="P56" s="897"/>
      <c r="Q56" s="898"/>
      <c r="R56" s="794"/>
      <c r="S56" s="304"/>
      <c r="T56" s="61"/>
      <c r="U56" s="896"/>
      <c r="V56" s="897"/>
      <c r="W56" s="897"/>
      <c r="X56" s="897"/>
      <c r="Y56" s="897"/>
      <c r="Z56" s="897"/>
      <c r="AA56" s="897"/>
      <c r="AB56" s="897"/>
      <c r="AC56" s="897"/>
      <c r="AD56" s="897"/>
      <c r="AE56" s="897"/>
      <c r="AF56" s="898"/>
      <c r="AG56" s="795"/>
      <c r="AH56" s="1201"/>
      <c r="AI56" s="76"/>
    </row>
    <row r="57" spans="2:35" s="77" customFormat="1" ht="3" customHeight="1">
      <c r="B57" s="71"/>
      <c r="C57" s="85"/>
      <c r="D57" s="80"/>
      <c r="E57" s="86"/>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7"/>
      <c r="AI57" s="76"/>
    </row>
    <row r="58" spans="2:35" ht="6" customHeight="1" thickBot="1">
      <c r="B58" s="99"/>
      <c r="C58" s="57"/>
      <c r="D58" s="57"/>
      <c r="E58" s="57"/>
      <c r="F58" s="57"/>
      <c r="G58" s="57"/>
      <c r="H58" s="57"/>
      <c r="I58" s="57"/>
      <c r="J58" s="57"/>
      <c r="K58" s="57"/>
      <c r="L58" s="57"/>
      <c r="M58" s="57"/>
      <c r="N58" s="57"/>
      <c r="O58" s="57"/>
      <c r="P58" s="57"/>
      <c r="Q58" s="57"/>
      <c r="R58" s="57"/>
      <c r="S58" s="57"/>
      <c r="T58" s="57"/>
      <c r="U58" s="57"/>
      <c r="V58" s="57"/>
      <c r="W58" s="57"/>
      <c r="X58" s="57"/>
      <c r="Y58" s="57"/>
      <c r="Z58" s="218"/>
      <c r="AA58" s="219"/>
      <c r="AB58" s="219"/>
      <c r="AC58" s="217"/>
      <c r="AD58" s="217"/>
      <c r="AE58" s="217"/>
      <c r="AF58" s="57"/>
      <c r="AG58" s="57"/>
      <c r="AH58" s="57"/>
      <c r="AI58" s="100"/>
    </row>
    <row r="61" spans="2:35" ht="15" customHeight="1">
      <c r="B61" s="61"/>
      <c r="C61" s="61"/>
      <c r="D61" s="61"/>
      <c r="E61" s="61"/>
      <c r="F61" s="61"/>
      <c r="G61" s="61"/>
      <c r="H61" s="61"/>
      <c r="I61" s="61"/>
      <c r="AC61" s="81"/>
      <c r="AD61" s="81"/>
      <c r="AE61" s="81"/>
    </row>
    <row r="62" spans="2:35" ht="16.5" hidden="1" customHeight="1">
      <c r="B62" s="61"/>
      <c r="C62" s="61"/>
      <c r="D62" s="61"/>
      <c r="E62" s="61"/>
      <c r="F62" s="61"/>
      <c r="G62" s="61"/>
      <c r="H62" s="61"/>
      <c r="I62" s="61"/>
      <c r="AC62" s="81"/>
      <c r="AD62" s="81"/>
      <c r="AE62" s="81"/>
    </row>
    <row r="63" spans="2:35" ht="16.5" hidden="1" customHeight="1">
      <c r="B63" s="61"/>
      <c r="C63" s="61"/>
      <c r="D63" s="81" t="s">
        <v>78</v>
      </c>
      <c r="E63" s="81" t="s">
        <v>81</v>
      </c>
      <c r="F63" s="61"/>
      <c r="G63" s="61"/>
      <c r="H63" s="61"/>
      <c r="I63" s="61"/>
      <c r="AC63" s="81"/>
      <c r="AD63" s="81"/>
      <c r="AE63" s="81"/>
    </row>
    <row r="64" spans="2:35" ht="16.5" hidden="1" customHeight="1">
      <c r="B64" s="61"/>
      <c r="C64" s="150"/>
      <c r="D64" s="151" t="s">
        <v>43</v>
      </c>
      <c r="E64" s="81" t="s">
        <v>82</v>
      </c>
      <c r="F64" s="61"/>
      <c r="G64" s="61"/>
      <c r="H64" s="61"/>
      <c r="I64" s="61"/>
    </row>
    <row r="65" spans="2:9" ht="16.5" hidden="1" customHeight="1">
      <c r="B65" s="61"/>
      <c r="C65" s="150"/>
      <c r="D65" s="151" t="s">
        <v>32</v>
      </c>
      <c r="E65" s="81" t="s">
        <v>83</v>
      </c>
      <c r="F65" s="61"/>
      <c r="G65" s="61"/>
      <c r="H65" s="61"/>
      <c r="I65" s="61"/>
    </row>
    <row r="66" spans="2:9" ht="16.5" customHeight="1">
      <c r="B66" s="61"/>
      <c r="C66" s="150"/>
      <c r="D66" s="152"/>
      <c r="E66" s="61"/>
      <c r="F66" s="61"/>
      <c r="G66" s="61"/>
      <c r="H66" s="61"/>
      <c r="I66" s="61"/>
    </row>
    <row r="67" spans="2:9" ht="15" customHeight="1">
      <c r="B67" s="61"/>
      <c r="C67" s="150"/>
      <c r="D67" s="152"/>
      <c r="E67" s="61"/>
      <c r="F67" s="61"/>
      <c r="G67" s="61"/>
      <c r="H67" s="61"/>
      <c r="I67" s="61"/>
    </row>
    <row r="68" spans="2:9" ht="15" customHeight="1">
      <c r="B68" s="61"/>
      <c r="C68" s="150"/>
      <c r="D68" s="152"/>
      <c r="E68" s="61"/>
      <c r="F68" s="61"/>
      <c r="G68" s="61"/>
      <c r="H68" s="61"/>
      <c r="I68" s="61"/>
    </row>
    <row r="69" spans="2:9" ht="15" customHeight="1">
      <c r="B69" s="61"/>
      <c r="C69" s="150"/>
      <c r="D69" s="152"/>
      <c r="E69" s="61"/>
      <c r="F69" s="61"/>
      <c r="G69" s="61"/>
      <c r="H69" s="61"/>
      <c r="I69" s="61"/>
    </row>
    <row r="70" spans="2:9" ht="15" customHeight="1">
      <c r="B70" s="61"/>
      <c r="C70" s="150"/>
      <c r="D70" s="152"/>
      <c r="E70" s="61"/>
      <c r="F70" s="61"/>
      <c r="G70" s="61"/>
      <c r="H70" s="61"/>
      <c r="I70" s="61"/>
    </row>
    <row r="71" spans="2:9" ht="15" customHeight="1">
      <c r="B71" s="61"/>
      <c r="C71" s="150"/>
      <c r="D71" s="152"/>
      <c r="E71" s="61"/>
      <c r="F71" s="61"/>
      <c r="G71" s="61"/>
      <c r="H71" s="61"/>
      <c r="I71" s="61"/>
    </row>
    <row r="72" spans="2:9" ht="15" customHeight="1">
      <c r="B72" s="61"/>
      <c r="C72" s="150"/>
      <c r="D72" s="152"/>
      <c r="E72" s="61"/>
      <c r="F72" s="61"/>
      <c r="G72" s="61"/>
      <c r="H72" s="61"/>
      <c r="I72" s="61"/>
    </row>
    <row r="73" spans="2:9" ht="15" customHeight="1">
      <c r="B73" s="61"/>
      <c r="C73" s="150"/>
      <c r="D73" s="152"/>
      <c r="E73" s="61"/>
      <c r="F73" s="61"/>
      <c r="G73" s="61"/>
      <c r="H73" s="61"/>
      <c r="I73" s="61"/>
    </row>
    <row r="74" spans="2:9" ht="15" customHeight="1">
      <c r="B74" s="61"/>
      <c r="C74" s="150"/>
      <c r="D74" s="152"/>
      <c r="E74" s="61"/>
      <c r="F74" s="61"/>
      <c r="G74" s="61"/>
      <c r="H74" s="61"/>
      <c r="I74" s="61"/>
    </row>
    <row r="75" spans="2:9" ht="15" customHeight="1">
      <c r="B75" s="61"/>
      <c r="C75" s="150"/>
      <c r="D75" s="152"/>
      <c r="E75" s="61"/>
      <c r="F75" s="61"/>
      <c r="G75" s="61"/>
      <c r="H75" s="61"/>
      <c r="I75" s="61"/>
    </row>
    <row r="76" spans="2:9" ht="15" customHeight="1">
      <c r="B76" s="61"/>
      <c r="C76" s="150"/>
      <c r="D76" s="152"/>
      <c r="E76" s="61"/>
      <c r="F76" s="61"/>
      <c r="G76" s="61"/>
      <c r="H76" s="61"/>
      <c r="I76" s="61"/>
    </row>
    <row r="77" spans="2:9" ht="15" customHeight="1">
      <c r="B77" s="61"/>
      <c r="C77" s="150"/>
      <c r="D77" s="152"/>
      <c r="E77" s="61"/>
      <c r="F77" s="61"/>
      <c r="G77" s="61"/>
      <c r="H77" s="61"/>
      <c r="I77" s="61"/>
    </row>
    <row r="78" spans="2:9" ht="15" customHeight="1">
      <c r="B78" s="61"/>
      <c r="C78" s="150"/>
      <c r="D78" s="152"/>
      <c r="E78" s="61"/>
      <c r="F78" s="61"/>
      <c r="G78" s="61"/>
      <c r="H78" s="61"/>
      <c r="I78" s="61"/>
    </row>
    <row r="79" spans="2:9" ht="15" customHeight="1">
      <c r="B79" s="61"/>
      <c r="C79" s="150"/>
      <c r="D79" s="152"/>
      <c r="E79" s="61"/>
      <c r="F79" s="61"/>
      <c r="G79" s="61"/>
      <c r="H79" s="61"/>
      <c r="I79" s="61"/>
    </row>
    <row r="80" spans="2:9" ht="15" customHeight="1">
      <c r="B80" s="61"/>
      <c r="C80" s="150"/>
      <c r="D80" s="152"/>
      <c r="E80" s="61"/>
      <c r="F80" s="61"/>
      <c r="G80" s="61"/>
      <c r="H80" s="61"/>
      <c r="I80" s="61"/>
    </row>
    <row r="81" spans="2:9" ht="15" customHeight="1">
      <c r="B81" s="61"/>
      <c r="C81" s="150"/>
      <c r="D81" s="152"/>
      <c r="E81" s="61"/>
      <c r="F81" s="61"/>
      <c r="G81" s="61"/>
      <c r="H81" s="61"/>
      <c r="I81" s="61"/>
    </row>
    <row r="82" spans="2:9" ht="15" customHeight="1">
      <c r="B82" s="61"/>
      <c r="C82" s="150"/>
      <c r="D82" s="152"/>
      <c r="E82" s="61"/>
      <c r="F82" s="61"/>
      <c r="G82" s="61"/>
      <c r="H82" s="61"/>
      <c r="I82" s="61"/>
    </row>
    <row r="83" spans="2:9" ht="15" customHeight="1">
      <c r="B83" s="61"/>
      <c r="C83" s="150"/>
      <c r="D83" s="152"/>
      <c r="E83" s="61"/>
      <c r="F83" s="61"/>
      <c r="G83" s="61"/>
      <c r="H83" s="61"/>
      <c r="I83" s="61"/>
    </row>
    <row r="84" spans="2:9" ht="15" customHeight="1">
      <c r="B84" s="61"/>
      <c r="C84" s="150"/>
      <c r="D84" s="152"/>
      <c r="E84" s="61"/>
      <c r="F84" s="61"/>
      <c r="G84" s="61"/>
      <c r="H84" s="61"/>
      <c r="I84" s="61"/>
    </row>
    <row r="85" spans="2:9" ht="15" customHeight="1">
      <c r="B85" s="61"/>
      <c r="C85" s="150"/>
      <c r="D85" s="152"/>
      <c r="E85" s="61"/>
      <c r="F85" s="61"/>
      <c r="G85" s="61"/>
      <c r="H85" s="61"/>
      <c r="I85" s="61"/>
    </row>
    <row r="86" spans="2:9" ht="15" customHeight="1">
      <c r="B86" s="61"/>
      <c r="C86" s="150"/>
      <c r="D86" s="152"/>
      <c r="E86" s="61"/>
      <c r="F86" s="61"/>
      <c r="G86" s="61"/>
      <c r="H86" s="61"/>
      <c r="I86" s="61"/>
    </row>
    <row r="87" spans="2:9" ht="15" customHeight="1">
      <c r="B87" s="61"/>
      <c r="C87" s="61"/>
      <c r="D87" s="61"/>
      <c r="E87" s="61"/>
      <c r="F87" s="61"/>
      <c r="G87" s="61"/>
      <c r="H87" s="61"/>
      <c r="I87" s="61"/>
    </row>
    <row r="88" spans="2:9" ht="15" customHeight="1">
      <c r="B88" s="61"/>
      <c r="C88" s="61"/>
      <c r="D88" s="61"/>
      <c r="E88" s="61"/>
      <c r="F88" s="61"/>
      <c r="G88" s="61"/>
      <c r="H88" s="61"/>
      <c r="I88" s="61"/>
    </row>
    <row r="89" spans="2:9" ht="15" customHeight="1">
      <c r="B89" s="61"/>
      <c r="C89" s="61"/>
      <c r="D89" s="61"/>
      <c r="E89" s="61"/>
      <c r="F89" s="61"/>
      <c r="G89" s="61"/>
      <c r="H89" s="61"/>
      <c r="I89" s="61"/>
    </row>
    <row r="90" spans="2:9" ht="15" customHeight="1">
      <c r="B90" s="61"/>
      <c r="C90" s="61"/>
      <c r="D90" s="61"/>
      <c r="E90" s="61"/>
      <c r="F90" s="61"/>
      <c r="G90" s="61"/>
      <c r="H90" s="61"/>
      <c r="I90" s="61"/>
    </row>
    <row r="91" spans="2:9" ht="15" customHeight="1">
      <c r="B91" s="61"/>
      <c r="C91" s="61"/>
      <c r="D91" s="61"/>
      <c r="E91" s="61"/>
      <c r="F91" s="61"/>
      <c r="G91" s="61"/>
      <c r="H91" s="61"/>
      <c r="I91" s="61"/>
    </row>
    <row r="92" spans="2:9" ht="15" customHeight="1">
      <c r="B92" s="61"/>
      <c r="C92" s="61"/>
      <c r="D92" s="61"/>
      <c r="E92" s="61"/>
      <c r="F92" s="61"/>
      <c r="G92" s="61"/>
      <c r="H92" s="61"/>
      <c r="I92" s="61"/>
    </row>
    <row r="93" spans="2:9" ht="15" customHeight="1">
      <c r="B93" s="61"/>
      <c r="C93" s="61"/>
      <c r="D93" s="61"/>
      <c r="E93" s="61"/>
      <c r="F93" s="61"/>
      <c r="G93" s="61"/>
      <c r="H93" s="61"/>
      <c r="I93" s="61"/>
    </row>
    <row r="94" spans="2:9" ht="15" customHeight="1">
      <c r="B94" s="61"/>
      <c r="C94" s="61"/>
      <c r="D94" s="61"/>
      <c r="E94" s="61"/>
      <c r="F94" s="61"/>
      <c r="G94" s="61"/>
      <c r="H94" s="61"/>
      <c r="I94" s="61"/>
    </row>
    <row r="95" spans="2:9" ht="15" customHeight="1">
      <c r="B95" s="61"/>
      <c r="C95" s="61"/>
      <c r="D95" s="61"/>
      <c r="E95" s="61"/>
      <c r="F95" s="61"/>
      <c r="G95" s="61"/>
      <c r="H95" s="61"/>
      <c r="I95" s="61"/>
    </row>
    <row r="96" spans="2:9" ht="15" customHeight="1">
      <c r="B96" s="61"/>
      <c r="C96" s="61"/>
      <c r="D96" s="61"/>
      <c r="E96" s="61"/>
      <c r="F96" s="61"/>
      <c r="G96" s="61"/>
      <c r="H96" s="61"/>
      <c r="I96" s="61"/>
    </row>
    <row r="97" spans="2:9" ht="15" customHeight="1">
      <c r="B97" s="61"/>
      <c r="C97" s="61"/>
      <c r="D97" s="61"/>
      <c r="E97" s="61"/>
      <c r="F97" s="61"/>
      <c r="G97" s="61"/>
      <c r="H97" s="61"/>
      <c r="I97" s="61"/>
    </row>
    <row r="98" spans="2:9" ht="15" customHeight="1">
      <c r="B98" s="61"/>
      <c r="C98" s="61"/>
      <c r="D98" s="61"/>
      <c r="E98" s="61"/>
      <c r="F98" s="61"/>
      <c r="G98" s="61"/>
      <c r="H98" s="61"/>
      <c r="I98" s="61"/>
    </row>
    <row r="99" spans="2:9" ht="15" customHeight="1">
      <c r="B99" s="61"/>
      <c r="C99" s="61"/>
      <c r="D99" s="61"/>
      <c r="E99" s="61"/>
      <c r="F99" s="61"/>
      <c r="G99" s="61"/>
      <c r="H99" s="61"/>
      <c r="I99" s="61"/>
    </row>
    <row r="100" spans="2:9" ht="15" customHeight="1">
      <c r="B100" s="61"/>
      <c r="C100" s="61"/>
      <c r="D100" s="61"/>
      <c r="E100" s="61"/>
      <c r="F100" s="61"/>
      <c r="G100" s="61"/>
      <c r="H100" s="61"/>
      <c r="I100" s="61"/>
    </row>
    <row r="101" spans="2:9" ht="15" customHeight="1">
      <c r="B101" s="61"/>
      <c r="C101" s="61"/>
      <c r="D101" s="61"/>
      <c r="E101" s="61"/>
      <c r="F101" s="61"/>
      <c r="G101" s="61"/>
      <c r="H101" s="61"/>
      <c r="I101" s="61"/>
    </row>
    <row r="102" spans="2:9" ht="15" customHeight="1">
      <c r="B102" s="61"/>
      <c r="C102" s="61"/>
      <c r="D102" s="61"/>
      <c r="E102" s="61"/>
      <c r="F102" s="61"/>
      <c r="G102" s="61"/>
      <c r="H102" s="61"/>
      <c r="I102" s="61"/>
    </row>
    <row r="103" spans="2:9" ht="15" customHeight="1">
      <c r="B103" s="61"/>
      <c r="C103" s="61"/>
      <c r="D103" s="61"/>
      <c r="E103" s="61"/>
      <c r="F103" s="61"/>
      <c r="G103" s="61"/>
      <c r="H103" s="61"/>
      <c r="I103" s="61"/>
    </row>
    <row r="104" spans="2:9" ht="15" customHeight="1">
      <c r="B104" s="61"/>
      <c r="C104" s="61"/>
      <c r="D104" s="61"/>
      <c r="E104" s="61"/>
      <c r="F104" s="61"/>
      <c r="G104" s="61"/>
      <c r="H104" s="61"/>
      <c r="I104" s="61"/>
    </row>
    <row r="105" spans="2:9" ht="15" customHeight="1">
      <c r="B105" s="61"/>
      <c r="C105" s="61"/>
      <c r="D105" s="61"/>
      <c r="E105" s="61"/>
      <c r="F105" s="61"/>
      <c r="G105" s="61"/>
      <c r="H105" s="61"/>
      <c r="I105" s="61"/>
    </row>
    <row r="106" spans="2:9" ht="15" customHeight="1">
      <c r="B106" s="61"/>
      <c r="C106" s="61"/>
      <c r="D106" s="61"/>
      <c r="E106" s="61"/>
      <c r="F106" s="61"/>
      <c r="G106" s="61"/>
      <c r="H106" s="61"/>
      <c r="I106" s="61"/>
    </row>
    <row r="107" spans="2:9" ht="15" customHeight="1">
      <c r="B107" s="61"/>
      <c r="C107" s="61"/>
      <c r="D107" s="61"/>
      <c r="E107" s="61"/>
      <c r="F107" s="61"/>
      <c r="G107" s="61"/>
      <c r="H107" s="61"/>
      <c r="I107" s="61"/>
    </row>
    <row r="108" spans="2:9" ht="15" customHeight="1">
      <c r="B108" s="61"/>
      <c r="C108" s="61"/>
      <c r="D108" s="61"/>
      <c r="E108" s="61"/>
      <c r="F108" s="61"/>
      <c r="G108" s="61"/>
      <c r="H108" s="61"/>
      <c r="I108" s="61"/>
    </row>
    <row r="109" spans="2:9" ht="15" customHeight="1">
      <c r="B109" s="61"/>
      <c r="C109" s="61"/>
      <c r="D109" s="61"/>
      <c r="E109" s="61"/>
      <c r="F109" s="61"/>
      <c r="G109" s="61"/>
      <c r="H109" s="61"/>
      <c r="I109" s="61"/>
    </row>
    <row r="110" spans="2:9" ht="15" customHeight="1">
      <c r="B110" s="61"/>
      <c r="C110" s="61"/>
      <c r="D110" s="61"/>
      <c r="E110" s="61"/>
      <c r="F110" s="61"/>
      <c r="G110" s="61"/>
      <c r="H110" s="61"/>
      <c r="I110" s="61"/>
    </row>
    <row r="111" spans="2:9" ht="15" customHeight="1">
      <c r="B111" s="61"/>
      <c r="C111" s="61"/>
      <c r="D111" s="61"/>
      <c r="E111" s="61"/>
      <c r="F111" s="61"/>
      <c r="G111" s="61"/>
      <c r="H111" s="61"/>
      <c r="I111" s="61"/>
    </row>
    <row r="112" spans="2:9" ht="15" customHeight="1">
      <c r="B112" s="61"/>
      <c r="C112" s="61"/>
      <c r="D112" s="61"/>
      <c r="E112" s="61"/>
      <c r="F112" s="61"/>
      <c r="G112" s="61"/>
      <c r="H112" s="61"/>
      <c r="I112" s="61"/>
    </row>
    <row r="113" spans="2:9" ht="15" customHeight="1">
      <c r="B113" s="61"/>
      <c r="C113" s="61"/>
      <c r="D113" s="61"/>
      <c r="E113" s="61"/>
      <c r="F113" s="61"/>
      <c r="G113" s="61"/>
      <c r="H113" s="61"/>
      <c r="I113" s="61"/>
    </row>
    <row r="114" spans="2:9" ht="15" customHeight="1">
      <c r="B114" s="61"/>
      <c r="C114" s="61"/>
      <c r="D114" s="61"/>
      <c r="E114" s="61"/>
      <c r="F114" s="61"/>
      <c r="G114" s="61"/>
      <c r="H114" s="61"/>
      <c r="I114" s="61"/>
    </row>
    <row r="115" spans="2:9" ht="15" customHeight="1">
      <c r="B115" s="61"/>
      <c r="C115" s="61"/>
      <c r="D115" s="61"/>
      <c r="E115" s="61"/>
      <c r="F115" s="61"/>
      <c r="G115" s="61"/>
      <c r="H115" s="61"/>
      <c r="I115" s="61"/>
    </row>
    <row r="116" spans="2:9" ht="15" customHeight="1">
      <c r="B116" s="61"/>
      <c r="C116" s="61"/>
      <c r="D116" s="61"/>
      <c r="E116" s="61"/>
      <c r="F116" s="61"/>
      <c r="G116" s="61"/>
      <c r="H116" s="61"/>
      <c r="I116" s="61"/>
    </row>
    <row r="117" spans="2:9" ht="15" customHeight="1">
      <c r="B117" s="61"/>
      <c r="C117" s="61"/>
      <c r="D117" s="61"/>
      <c r="E117" s="61"/>
      <c r="F117" s="61"/>
      <c r="G117" s="61"/>
      <c r="H117" s="61"/>
      <c r="I117" s="61"/>
    </row>
    <row r="118" spans="2:9" ht="15" customHeight="1">
      <c r="B118" s="61"/>
      <c r="C118" s="61"/>
      <c r="D118" s="61"/>
      <c r="E118" s="61"/>
      <c r="F118" s="61"/>
      <c r="G118" s="61"/>
      <c r="H118" s="61"/>
      <c r="I118" s="61"/>
    </row>
    <row r="119" spans="2:9" ht="15" customHeight="1">
      <c r="B119" s="61"/>
      <c r="C119" s="61"/>
      <c r="D119" s="61"/>
      <c r="E119" s="61"/>
      <c r="F119" s="61"/>
      <c r="G119" s="61"/>
      <c r="H119" s="61"/>
      <c r="I119" s="61"/>
    </row>
    <row r="120" spans="2:9" ht="15" customHeight="1">
      <c r="B120" s="61"/>
      <c r="C120" s="61"/>
      <c r="D120" s="61"/>
      <c r="E120" s="61"/>
      <c r="F120" s="61"/>
      <c r="G120" s="61"/>
      <c r="H120" s="61"/>
      <c r="I120" s="61"/>
    </row>
    <row r="121" spans="2:9" ht="15" customHeight="1">
      <c r="B121" s="61"/>
      <c r="C121" s="61"/>
      <c r="D121" s="61"/>
      <c r="E121" s="61"/>
      <c r="F121" s="61"/>
      <c r="G121" s="61"/>
      <c r="H121" s="61"/>
      <c r="I121" s="61"/>
    </row>
    <row r="122" spans="2:9" ht="15" customHeight="1">
      <c r="B122" s="61"/>
      <c r="C122" s="61"/>
      <c r="D122" s="61"/>
      <c r="E122" s="61"/>
      <c r="F122" s="61"/>
      <c r="G122" s="61"/>
      <c r="H122" s="61"/>
      <c r="I122" s="61"/>
    </row>
    <row r="123" spans="2:9" ht="15" customHeight="1">
      <c r="B123" s="61"/>
      <c r="C123" s="61"/>
      <c r="D123" s="61"/>
      <c r="E123" s="61"/>
      <c r="F123" s="61"/>
      <c r="G123" s="61"/>
      <c r="H123" s="61"/>
      <c r="I123" s="61"/>
    </row>
    <row r="124" spans="2:9" ht="15" customHeight="1">
      <c r="B124" s="61"/>
      <c r="C124" s="61"/>
      <c r="D124" s="61"/>
      <c r="E124" s="61"/>
      <c r="F124" s="61"/>
      <c r="G124" s="61"/>
      <c r="H124" s="61"/>
      <c r="I124" s="61"/>
    </row>
    <row r="125" spans="2:9" ht="15" customHeight="1">
      <c r="B125" s="61"/>
      <c r="C125" s="61"/>
      <c r="D125" s="61"/>
      <c r="E125" s="61"/>
      <c r="F125" s="61"/>
      <c r="G125" s="61"/>
      <c r="H125" s="61"/>
      <c r="I125" s="61"/>
    </row>
    <row r="126" spans="2:9" ht="15" customHeight="1">
      <c r="B126" s="61"/>
      <c r="C126" s="61"/>
      <c r="D126" s="61"/>
      <c r="E126" s="61"/>
      <c r="F126" s="61"/>
      <c r="G126" s="61"/>
      <c r="H126" s="61"/>
      <c r="I126" s="61"/>
    </row>
    <row r="127" spans="2:9" ht="15" customHeight="1">
      <c r="B127" s="61"/>
      <c r="C127" s="61"/>
      <c r="D127" s="61"/>
      <c r="E127" s="61"/>
      <c r="F127" s="61"/>
      <c r="G127" s="61"/>
      <c r="H127" s="61"/>
      <c r="I127" s="61"/>
    </row>
    <row r="128" spans="2:9" ht="15" customHeight="1">
      <c r="B128" s="61"/>
      <c r="C128" s="61"/>
      <c r="D128" s="61"/>
      <c r="E128" s="61"/>
      <c r="F128" s="61"/>
      <c r="G128" s="61"/>
      <c r="H128" s="61"/>
      <c r="I128" s="61"/>
    </row>
    <row r="129" spans="2:9" ht="15" customHeight="1">
      <c r="B129" s="61"/>
      <c r="C129" s="61"/>
      <c r="D129" s="61"/>
      <c r="E129" s="61"/>
      <c r="F129" s="61"/>
      <c r="G129" s="61"/>
      <c r="H129" s="61"/>
      <c r="I129" s="61"/>
    </row>
    <row r="130" spans="2:9" ht="15" customHeight="1">
      <c r="B130" s="61"/>
      <c r="C130" s="61"/>
      <c r="D130" s="61"/>
      <c r="E130" s="61"/>
      <c r="F130" s="61"/>
      <c r="G130" s="61"/>
      <c r="H130" s="61"/>
      <c r="I130" s="61"/>
    </row>
    <row r="131" spans="2:9" ht="15" customHeight="1">
      <c r="B131" s="61"/>
      <c r="C131" s="61"/>
      <c r="D131" s="61"/>
      <c r="E131" s="61"/>
      <c r="F131" s="61"/>
      <c r="G131" s="61"/>
      <c r="H131" s="61"/>
      <c r="I131" s="61"/>
    </row>
    <row r="132" spans="2:9" ht="15" customHeight="1">
      <c r="B132" s="61"/>
      <c r="C132" s="61"/>
      <c r="D132" s="61"/>
      <c r="E132" s="61"/>
      <c r="F132" s="61"/>
      <c r="G132" s="61"/>
      <c r="H132" s="61"/>
      <c r="I132" s="61"/>
    </row>
  </sheetData>
  <sheetProtection sheet="1" selectLockedCells="1"/>
  <mergeCells count="109">
    <mergeCell ref="D25:L25"/>
    <mergeCell ref="Q25:R25"/>
    <mergeCell ref="N25:O25"/>
    <mergeCell ref="AF25:AG25"/>
    <mergeCell ref="T26:AD26"/>
    <mergeCell ref="N18:O18"/>
    <mergeCell ref="Q18:R18"/>
    <mergeCell ref="AC18:AD18"/>
    <mergeCell ref="AF18:AG18"/>
    <mergeCell ref="N23:O23"/>
    <mergeCell ref="Q23:R23"/>
    <mergeCell ref="AC23:AD23"/>
    <mergeCell ref="AF23:AG23"/>
    <mergeCell ref="D22:L22"/>
    <mergeCell ref="N22:O22"/>
    <mergeCell ref="Q22:R22"/>
    <mergeCell ref="AC22:AD22"/>
    <mergeCell ref="AF22:AG22"/>
    <mergeCell ref="D56:Q56"/>
    <mergeCell ref="U56:AF56"/>
    <mergeCell ref="N16:O17"/>
    <mergeCell ref="AC16:AD17"/>
    <mergeCell ref="N21:O21"/>
    <mergeCell ref="AC21:AD21"/>
    <mergeCell ref="Q16:R17"/>
    <mergeCell ref="AF16:AG17"/>
    <mergeCell ref="Q21:R21"/>
    <mergeCell ref="AF21:AG21"/>
    <mergeCell ref="AF27:AG27"/>
    <mergeCell ref="AF26:AG26"/>
    <mergeCell ref="AE29:AG29"/>
    <mergeCell ref="D27:O27"/>
    <mergeCell ref="D54:Q54"/>
    <mergeCell ref="U54:AF54"/>
    <mergeCell ref="D55:Q55"/>
    <mergeCell ref="U55:AF55"/>
    <mergeCell ref="U51:AF51"/>
    <mergeCell ref="D52:Q52"/>
    <mergeCell ref="U52:AF52"/>
    <mergeCell ref="D53:Q53"/>
    <mergeCell ref="U53:AF53"/>
    <mergeCell ref="D46:Q46"/>
    <mergeCell ref="U41:AF41"/>
    <mergeCell ref="U42:AF42"/>
    <mergeCell ref="U43:AF43"/>
    <mergeCell ref="U44:AF44"/>
    <mergeCell ref="U45:AF45"/>
    <mergeCell ref="U36:AF36"/>
    <mergeCell ref="U37:AF37"/>
    <mergeCell ref="U38:AF38"/>
    <mergeCell ref="U39:AF39"/>
    <mergeCell ref="U40:AF40"/>
    <mergeCell ref="D37:Q37"/>
    <mergeCell ref="D38:Q38"/>
    <mergeCell ref="D39:Q39"/>
    <mergeCell ref="D40:Q40"/>
    <mergeCell ref="D41:Q41"/>
    <mergeCell ref="D42:Q42"/>
    <mergeCell ref="D43:Q43"/>
    <mergeCell ref="D44:Q44"/>
    <mergeCell ref="D45:Q45"/>
    <mergeCell ref="D35:Q35"/>
    <mergeCell ref="D36:Q36"/>
    <mergeCell ref="AE3:AI3"/>
    <mergeCell ref="J2:Z3"/>
    <mergeCell ref="M6:S6"/>
    <mergeCell ref="F7:S7"/>
    <mergeCell ref="J8:S8"/>
    <mergeCell ref="X6:AH6"/>
    <mergeCell ref="X7:AH7"/>
    <mergeCell ref="X8:AH8"/>
    <mergeCell ref="F6:H6"/>
    <mergeCell ref="F8:H8"/>
    <mergeCell ref="AE2:AI2"/>
    <mergeCell ref="AF24:AG24"/>
    <mergeCell ref="AD12:AG12"/>
    <mergeCell ref="AD13:AG13"/>
    <mergeCell ref="Q27:R27"/>
    <mergeCell ref="T27:AD27"/>
    <mergeCell ref="D24:L24"/>
    <mergeCell ref="N24:O24"/>
    <mergeCell ref="Q24:R24"/>
    <mergeCell ref="T24:AA24"/>
    <mergeCell ref="AC24:AD24"/>
    <mergeCell ref="D23:L23"/>
    <mergeCell ref="AK2:AK3"/>
    <mergeCell ref="AM2:AM3"/>
    <mergeCell ref="D18:L18"/>
    <mergeCell ref="D19:L19"/>
    <mergeCell ref="D20:L20"/>
    <mergeCell ref="U35:AF35"/>
    <mergeCell ref="D51:Q51"/>
    <mergeCell ref="S12:V12"/>
    <mergeCell ref="S13:V13"/>
    <mergeCell ref="T22:AA22"/>
    <mergeCell ref="N19:O19"/>
    <mergeCell ref="Q19:R19"/>
    <mergeCell ref="AC19:AD19"/>
    <mergeCell ref="N20:O20"/>
    <mergeCell ref="Q20:R20"/>
    <mergeCell ref="T23:AA23"/>
    <mergeCell ref="T18:AA18"/>
    <mergeCell ref="T19:AA19"/>
    <mergeCell ref="T20:AA20"/>
    <mergeCell ref="AF19:AG19"/>
    <mergeCell ref="AC20:AD20"/>
    <mergeCell ref="AF20:AG20"/>
    <mergeCell ref="AF46:AG46"/>
    <mergeCell ref="X46:Y46"/>
  </mergeCells>
  <conditionalFormatting sqref="D12:D13">
    <cfRule type="cellIs" dxfId="377" priority="86" stopIfTrue="1" operator="equal">
      <formula>"L"</formula>
    </cfRule>
    <cfRule type="cellIs" dxfId="376" priority="87" stopIfTrue="1" operator="equal">
      <formula>"j"</formula>
    </cfRule>
  </conditionalFormatting>
  <conditionalFormatting sqref="AG33">
    <cfRule type="containsText" dxfId="375" priority="84" operator="containsText" text="L">
      <formula>NOT(ISERROR(SEARCH("L",AG33)))</formula>
    </cfRule>
    <cfRule type="containsText" dxfId="374" priority="85" operator="containsText" text="J">
      <formula>NOT(ISERROR(SEARCH("J",AG33)))</formula>
    </cfRule>
  </conditionalFormatting>
  <conditionalFormatting sqref="F6:F8 J8 M6 X6:AH8 S12:V13 AD12:AG13 N18:O20 N22:O24 AC22:AD24 AC18:AD20 AF27 D35:Q46 U35:AF45 D51:Q56 U51:AF56 N25">
    <cfRule type="notContainsBlanks" dxfId="373" priority="83">
      <formula>LEN(TRIM(D6))&gt;0</formula>
    </cfRule>
  </conditionalFormatting>
  <conditionalFormatting sqref="D18 D18:L20 T18:AA20">
    <cfRule type="containsText" dxfId="372" priority="82" operator="containsText" text="&lt;Malzsorte wählen&gt;">
      <formula>NOT(ISERROR(SEARCH("&lt;Malzsorte wählen&gt;",D18)))</formula>
    </cfRule>
  </conditionalFormatting>
  <conditionalFormatting sqref="D22:L25 T22:AA24">
    <cfRule type="containsText" dxfId="371" priority="81" operator="containsText" text="&lt;Hopfensorte wählen&gt;">
      <formula>NOT(ISERROR(SEARCH("&lt;Hopfensorte wählen&gt;",D22)))</formula>
    </cfRule>
  </conditionalFormatting>
  <conditionalFormatting sqref="R35">
    <cfRule type="expression" dxfId="370" priority="79">
      <formula>$D35=""</formula>
    </cfRule>
  </conditionalFormatting>
  <conditionalFormatting sqref="R36">
    <cfRule type="expression" dxfId="369" priority="78">
      <formula>$D36=""</formula>
    </cfRule>
  </conditionalFormatting>
  <conditionalFormatting sqref="R37">
    <cfRule type="expression" dxfId="368" priority="77">
      <formula>$D37=""</formula>
    </cfRule>
  </conditionalFormatting>
  <conditionalFormatting sqref="R38">
    <cfRule type="expression" dxfId="367" priority="76">
      <formula>$D38=""</formula>
    </cfRule>
  </conditionalFormatting>
  <conditionalFormatting sqref="R39">
    <cfRule type="expression" dxfId="366" priority="75">
      <formula>$D39=""</formula>
    </cfRule>
  </conditionalFormatting>
  <conditionalFormatting sqref="R40">
    <cfRule type="expression" dxfId="365" priority="74">
      <formula>$D40=""</formula>
    </cfRule>
  </conditionalFormatting>
  <conditionalFormatting sqref="R41">
    <cfRule type="expression" dxfId="364" priority="73">
      <formula>$D41=""</formula>
    </cfRule>
  </conditionalFormatting>
  <conditionalFormatting sqref="R42">
    <cfRule type="expression" dxfId="363" priority="72">
      <formula>$D42=""</formula>
    </cfRule>
  </conditionalFormatting>
  <conditionalFormatting sqref="R43">
    <cfRule type="expression" dxfId="362" priority="71">
      <formula>$D43=""</formula>
    </cfRule>
  </conditionalFormatting>
  <conditionalFormatting sqref="R44">
    <cfRule type="expression" dxfId="361" priority="70">
      <formula>$D44=""</formula>
    </cfRule>
  </conditionalFormatting>
  <conditionalFormatting sqref="R45">
    <cfRule type="expression" dxfId="360" priority="69">
      <formula>$D45=""</formula>
    </cfRule>
  </conditionalFormatting>
  <conditionalFormatting sqref="R46">
    <cfRule type="expression" dxfId="359" priority="68">
      <formula>$D46=""</formula>
    </cfRule>
  </conditionalFormatting>
  <conditionalFormatting sqref="AG35">
    <cfRule type="expression" dxfId="358" priority="67">
      <formula>$U35=""</formula>
    </cfRule>
  </conditionalFormatting>
  <conditionalFormatting sqref="AG36">
    <cfRule type="expression" dxfId="357" priority="66">
      <formula>$U36=""</formula>
    </cfRule>
  </conditionalFormatting>
  <conditionalFormatting sqref="AG37">
    <cfRule type="expression" dxfId="356" priority="65">
      <formula>$U37=""</formula>
    </cfRule>
  </conditionalFormatting>
  <conditionalFormatting sqref="AG38">
    <cfRule type="expression" dxfId="355" priority="64">
      <formula>$U38=""</formula>
    </cfRule>
  </conditionalFormatting>
  <conditionalFormatting sqref="AG39">
    <cfRule type="expression" dxfId="354" priority="63">
      <formula>$U39=""</formula>
    </cfRule>
  </conditionalFormatting>
  <conditionalFormatting sqref="AG40">
    <cfRule type="expression" dxfId="353" priority="62">
      <formula>$U40=""</formula>
    </cfRule>
  </conditionalFormatting>
  <conditionalFormatting sqref="AG41">
    <cfRule type="expression" dxfId="352" priority="61">
      <formula>$U41=""</formula>
    </cfRule>
  </conditionalFormatting>
  <conditionalFormatting sqref="AG42">
    <cfRule type="expression" dxfId="351" priority="60">
      <formula>$U42=""</formula>
    </cfRule>
  </conditionalFormatting>
  <conditionalFormatting sqref="AG43">
    <cfRule type="expression" dxfId="350" priority="59">
      <formula>$U43=""</formula>
    </cfRule>
  </conditionalFormatting>
  <conditionalFormatting sqref="AG44">
    <cfRule type="expression" dxfId="349" priority="58">
      <formula>$U44=""</formula>
    </cfRule>
  </conditionalFormatting>
  <conditionalFormatting sqref="AG45">
    <cfRule type="expression" dxfId="348" priority="57">
      <formula>$U45=""</formula>
    </cfRule>
  </conditionalFormatting>
  <conditionalFormatting sqref="AG51">
    <cfRule type="expression" dxfId="347" priority="56">
      <formula>$U51=""</formula>
    </cfRule>
  </conditionalFormatting>
  <conditionalFormatting sqref="AG52">
    <cfRule type="expression" dxfId="346" priority="55">
      <formula>$U52=""</formula>
    </cfRule>
  </conditionalFormatting>
  <conditionalFormatting sqref="AG53">
    <cfRule type="expression" dxfId="345" priority="54">
      <formula>$U53=""</formula>
    </cfRule>
  </conditionalFormatting>
  <conditionalFormatting sqref="AG54">
    <cfRule type="expression" dxfId="344" priority="53">
      <formula>$U54=""</formula>
    </cfRule>
  </conditionalFormatting>
  <conditionalFormatting sqref="AG55">
    <cfRule type="expression" dxfId="343" priority="52">
      <formula>$U55=""</formula>
    </cfRule>
  </conditionalFormatting>
  <conditionalFormatting sqref="AG56">
    <cfRule type="expression" dxfId="342" priority="51">
      <formula>$U56=""</formula>
    </cfRule>
  </conditionalFormatting>
  <conditionalFormatting sqref="R51">
    <cfRule type="expression" dxfId="341" priority="50">
      <formula>$D51=""</formula>
    </cfRule>
  </conditionalFormatting>
  <conditionalFormatting sqref="R52">
    <cfRule type="expression" dxfId="340" priority="49">
      <formula>$D52=""</formula>
    </cfRule>
  </conditionalFormatting>
  <conditionalFormatting sqref="R53">
    <cfRule type="expression" dxfId="339" priority="48">
      <formula>$D53=""</formula>
    </cfRule>
  </conditionalFormatting>
  <conditionalFormatting sqref="R54">
    <cfRule type="expression" dxfId="338" priority="47">
      <formula>$D54=""</formula>
    </cfRule>
  </conditionalFormatting>
  <conditionalFormatting sqref="R55">
    <cfRule type="expression" dxfId="337" priority="46">
      <formula>$D55=""</formula>
    </cfRule>
  </conditionalFormatting>
  <conditionalFormatting sqref="R56">
    <cfRule type="expression" dxfId="336" priority="45">
      <formula>$D56=""</formula>
    </cfRule>
  </conditionalFormatting>
  <conditionalFormatting sqref="AF26">
    <cfRule type="notContainsBlanks" dxfId="335" priority="43">
      <formula>LEN(TRIM(AF26))&gt;0</formula>
    </cfRule>
  </conditionalFormatting>
  <conditionalFormatting sqref="T27">
    <cfRule type="notContainsBlanks" dxfId="334" priority="42">
      <formula>LEN(TRIM(T27))&gt;0</formula>
    </cfRule>
  </conditionalFormatting>
  <conditionalFormatting sqref="D27">
    <cfRule type="notContainsBlanks" dxfId="333" priority="41">
      <formula>LEN(TRIM(D27))&gt;0</formula>
    </cfRule>
  </conditionalFormatting>
  <conditionalFormatting sqref="Q27">
    <cfRule type="notContainsBlanks" dxfId="332" priority="40">
      <formula>LEN(TRIM(Q27))&gt;0</formula>
    </cfRule>
  </conditionalFormatting>
  <conditionalFormatting sqref="T26">
    <cfRule type="notContainsBlanks" dxfId="331" priority="39">
      <formula>LEN(TRIM(T26))&gt;0</formula>
    </cfRule>
  </conditionalFormatting>
  <conditionalFormatting sqref="AE29:AG29">
    <cfRule type="cellIs" dxfId="330" priority="38" operator="greaterThan">
      <formula>0</formula>
    </cfRule>
  </conditionalFormatting>
  <conditionalFormatting sqref="Q18">
    <cfRule type="expression" dxfId="329" priority="37">
      <formula>$D$18="&lt;Malzsorte wählen&gt;"</formula>
    </cfRule>
  </conditionalFormatting>
  <conditionalFormatting sqref="Q19:R19">
    <cfRule type="expression" dxfId="328" priority="22">
      <formula>$D$19=""</formula>
    </cfRule>
    <cfRule type="expression" dxfId="327" priority="36">
      <formula>$D$19="&lt;Malzsorte wählen&gt;"</formula>
    </cfRule>
  </conditionalFormatting>
  <conditionalFormatting sqref="Q20:R20">
    <cfRule type="expression" dxfId="326" priority="21">
      <formula>$D$20=""</formula>
    </cfRule>
    <cfRule type="expression" dxfId="325" priority="35">
      <formula>$D$20="&lt;Malzsorte wählen&gt;"</formula>
    </cfRule>
  </conditionalFormatting>
  <conditionalFormatting sqref="AF18:AG18">
    <cfRule type="expression" dxfId="324" priority="20">
      <formula>$T$18=""</formula>
    </cfRule>
    <cfRule type="expression" dxfId="323" priority="34">
      <formula>$T$18="&lt;Malzsorte wählen&gt;"</formula>
    </cfRule>
  </conditionalFormatting>
  <conditionalFormatting sqref="AF19:AG19">
    <cfRule type="expression" dxfId="322" priority="19">
      <formula>$T$19=""</formula>
    </cfRule>
    <cfRule type="expression" dxfId="321" priority="33">
      <formula>$T$19="&lt;Malzsorte wählen&gt;"</formula>
    </cfRule>
  </conditionalFormatting>
  <conditionalFormatting sqref="AF20:AG20">
    <cfRule type="expression" dxfId="320" priority="18">
      <formula>$T$20=""</formula>
    </cfRule>
    <cfRule type="expression" dxfId="319" priority="32">
      <formula>$T$20="&lt;Malzsorte wählen&gt;"</formula>
    </cfRule>
  </conditionalFormatting>
  <conditionalFormatting sqref="Q22:R22">
    <cfRule type="expression" dxfId="318" priority="31">
      <formula>$D$22="&lt;Hopfensorte wählen&gt;"</formula>
    </cfRule>
  </conditionalFormatting>
  <conditionalFormatting sqref="Q23:R23">
    <cfRule type="expression" dxfId="317" priority="17">
      <formula>$D$23=""</formula>
    </cfRule>
    <cfRule type="expression" dxfId="316" priority="30">
      <formula>$D$23="&lt;Hopfensorte wählen&gt;"</formula>
    </cfRule>
  </conditionalFormatting>
  <conditionalFormatting sqref="Q24:R24">
    <cfRule type="expression" dxfId="315" priority="16">
      <formula>$D$24=""</formula>
    </cfRule>
    <cfRule type="expression" dxfId="314" priority="29">
      <formula>$D$24="&lt;Hopfensorte wählen&gt;"</formula>
    </cfRule>
  </conditionalFormatting>
  <conditionalFormatting sqref="Q25:R25">
    <cfRule type="expression" dxfId="313" priority="15">
      <formula>$D$25=""</formula>
    </cfRule>
    <cfRule type="expression" dxfId="312" priority="28">
      <formula>$D$25="&lt;Hopfensorte wählen&gt;"</formula>
    </cfRule>
  </conditionalFormatting>
  <conditionalFormatting sqref="AF22:AG22">
    <cfRule type="expression" dxfId="311" priority="14">
      <formula>$T$22=""</formula>
    </cfRule>
    <cfRule type="expression" dxfId="310" priority="27">
      <formula>$T$22="&lt;Hopfensorte wählen&gt;"</formula>
    </cfRule>
  </conditionalFormatting>
  <conditionalFormatting sqref="AF23:AG23">
    <cfRule type="expression" dxfId="309" priority="13">
      <formula>$T$23=""</formula>
    </cfRule>
    <cfRule type="expression" dxfId="308" priority="26">
      <formula>$T$23="&lt;Hopfensorte wählen&gt;"</formula>
    </cfRule>
  </conditionalFormatting>
  <conditionalFormatting sqref="AF24:AG24">
    <cfRule type="expression" dxfId="307" priority="12">
      <formula>$T$24=""</formula>
    </cfRule>
    <cfRule type="expression" dxfId="306" priority="25">
      <formula>$T$24="&lt;Hopfensorte wählen&gt;"</formula>
    </cfRule>
  </conditionalFormatting>
  <conditionalFormatting sqref="X46:Y46">
    <cfRule type="expression" dxfId="305" priority="24">
      <formula>$AP$46=0</formula>
    </cfRule>
  </conditionalFormatting>
  <conditionalFormatting sqref="AF46:AG46">
    <cfRule type="expression" dxfId="304" priority="23">
      <formula>$AP$46=0</formula>
    </cfRule>
  </conditionalFormatting>
  <conditionalFormatting sqref="N19:O19">
    <cfRule type="expression" dxfId="303" priority="11">
      <formula>$D$19=""</formula>
    </cfRule>
  </conditionalFormatting>
  <conditionalFormatting sqref="N20:O20">
    <cfRule type="expression" dxfId="302" priority="10">
      <formula>$D$20=""</formula>
    </cfRule>
  </conditionalFormatting>
  <conditionalFormatting sqref="AC18:AD18">
    <cfRule type="expression" dxfId="301" priority="9">
      <formula>$T$18=""</formula>
    </cfRule>
  </conditionalFormatting>
  <conditionalFormatting sqref="AC19:AD19">
    <cfRule type="expression" dxfId="300" priority="8">
      <formula>$T$19=""</formula>
    </cfRule>
  </conditionalFormatting>
  <conditionalFormatting sqref="AC20:AD20">
    <cfRule type="expression" dxfId="299" priority="7">
      <formula>$T$20=""</formula>
    </cfRule>
  </conditionalFormatting>
  <conditionalFormatting sqref="AC22:AD22">
    <cfRule type="expression" dxfId="298" priority="6">
      <formula>$T$22=""</formula>
    </cfRule>
  </conditionalFormatting>
  <conditionalFormatting sqref="AC23:AD23">
    <cfRule type="expression" dxfId="297" priority="5">
      <formula>$T$23=""</formula>
    </cfRule>
  </conditionalFormatting>
  <conditionalFormatting sqref="AC24:AD24">
    <cfRule type="expression" dxfId="296" priority="4">
      <formula>$T$24=""</formula>
    </cfRule>
  </conditionalFormatting>
  <conditionalFormatting sqref="N23:O23">
    <cfRule type="expression" dxfId="295" priority="3">
      <formula>$D$23=""</formula>
    </cfRule>
  </conditionalFormatting>
  <conditionalFormatting sqref="N24:O24">
    <cfRule type="expression" dxfId="294" priority="2">
      <formula>$D$24=""</formula>
    </cfRule>
  </conditionalFormatting>
  <conditionalFormatting sqref="N25:O25">
    <cfRule type="expression" dxfId="293" priority="1">
      <formula>$D$25=""</formula>
    </cfRule>
  </conditionalFormatting>
  <dataValidations disablePrompts="1" count="1">
    <dataValidation type="list" allowBlank="1" showInputMessage="1" showErrorMessage="1" sqref="Z10:AH10" xr:uid="{00000000-0002-0000-0300-000000000000}">
      <formula1>#REF!</formula1>
    </dataValidation>
  </dataValidations>
  <hyperlinks>
    <hyperlink ref="AM2" location="'2_brief_hza'!AM4" tooltip="Weiter zu Brief HZA" display="ð" xr:uid="{00000000-0004-0000-0300-000000000000}"/>
    <hyperlink ref="AK2" location="daten!A3" tooltip="zurück zu den Daten" display="ï" xr:uid="{00000000-0004-0000-0300-000001000000}"/>
    <hyperlink ref="AL2" location="start!A1" tooltip="zur Startseite" display="ñ" xr:uid="{00000000-0004-0000-0300-000002000000}"/>
    <hyperlink ref="AK2:AK3" location="rechenfibel!L6" tooltip="zurück zur Rechenfibel" display="ï" xr:uid="{8F2E97CE-68C8-4C8D-9D7A-E15842FFAFAE}"/>
  </hyperlinks>
  <printOptions horizontalCentered="1"/>
  <pageMargins left="0.70866141732283472" right="0.70866141732283472" top="0.78740157480314965" bottom="0.78740157480314965" header="0.51181102362204722" footer="0.51181102362204722"/>
  <pageSetup paperSize="9" orientation="portrait" r:id="rId1"/>
  <headerFooter alignWithMargins="0">
    <oddFooter>&amp;R&amp;"Arial,Fett"www.bierbrauerei.net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42" r:id="rId4" name="Check Box 2">
              <controlPr locked="0" defaultSize="0" autoFill="0" autoLine="0" autoPict="0">
                <anchor moveWithCells="1">
                  <from>
                    <xdr:col>17</xdr:col>
                    <xdr:colOff>7620</xdr:colOff>
                    <xdr:row>34</xdr:row>
                    <xdr:rowOff>7620</xdr:rowOff>
                  </from>
                  <to>
                    <xdr:col>17</xdr:col>
                    <xdr:colOff>236220</xdr:colOff>
                    <xdr:row>34</xdr:row>
                    <xdr:rowOff>220980</xdr:rowOff>
                  </to>
                </anchor>
              </controlPr>
            </control>
          </mc:Choice>
        </mc:AlternateContent>
        <mc:AlternateContent xmlns:mc="http://schemas.openxmlformats.org/markup-compatibility/2006">
          <mc:Choice Requires="x14">
            <control shapeId="778245" r:id="rId5" name="Check Box 5">
              <controlPr defaultSize="0" autoFill="0" autoLine="0" autoPict="0">
                <anchor moveWithCells="1">
                  <from>
                    <xdr:col>32</xdr:col>
                    <xdr:colOff>7620</xdr:colOff>
                    <xdr:row>34</xdr:row>
                    <xdr:rowOff>7620</xdr:rowOff>
                  </from>
                  <to>
                    <xdr:col>33</xdr:col>
                    <xdr:colOff>7620</xdr:colOff>
                    <xdr:row>34</xdr:row>
                    <xdr:rowOff>220980</xdr:rowOff>
                  </to>
                </anchor>
              </controlPr>
            </control>
          </mc:Choice>
        </mc:AlternateContent>
        <mc:AlternateContent xmlns:mc="http://schemas.openxmlformats.org/markup-compatibility/2006">
          <mc:Choice Requires="x14">
            <control shapeId="778246" r:id="rId6" name="Check Box 6">
              <controlPr defaultSize="0" autoFill="0" autoLine="0" autoPict="0">
                <anchor moveWithCells="1">
                  <from>
                    <xdr:col>17</xdr:col>
                    <xdr:colOff>7620</xdr:colOff>
                    <xdr:row>35</xdr:row>
                    <xdr:rowOff>7620</xdr:rowOff>
                  </from>
                  <to>
                    <xdr:col>17</xdr:col>
                    <xdr:colOff>236220</xdr:colOff>
                    <xdr:row>35</xdr:row>
                    <xdr:rowOff>220980</xdr:rowOff>
                  </to>
                </anchor>
              </controlPr>
            </control>
          </mc:Choice>
        </mc:AlternateContent>
        <mc:AlternateContent xmlns:mc="http://schemas.openxmlformats.org/markup-compatibility/2006">
          <mc:Choice Requires="x14">
            <control shapeId="778247" r:id="rId7" name="Check Box 7">
              <controlPr defaultSize="0" autoFill="0" autoLine="0" autoPict="0">
                <anchor moveWithCells="1">
                  <from>
                    <xdr:col>17</xdr:col>
                    <xdr:colOff>7620</xdr:colOff>
                    <xdr:row>36</xdr:row>
                    <xdr:rowOff>7620</xdr:rowOff>
                  </from>
                  <to>
                    <xdr:col>17</xdr:col>
                    <xdr:colOff>236220</xdr:colOff>
                    <xdr:row>36</xdr:row>
                    <xdr:rowOff>220980</xdr:rowOff>
                  </to>
                </anchor>
              </controlPr>
            </control>
          </mc:Choice>
        </mc:AlternateContent>
        <mc:AlternateContent xmlns:mc="http://schemas.openxmlformats.org/markup-compatibility/2006">
          <mc:Choice Requires="x14">
            <control shapeId="778248" r:id="rId8" name="Check Box 8">
              <controlPr defaultSize="0" autoFill="0" autoLine="0" autoPict="0">
                <anchor moveWithCells="1">
                  <from>
                    <xdr:col>17</xdr:col>
                    <xdr:colOff>7620</xdr:colOff>
                    <xdr:row>37</xdr:row>
                    <xdr:rowOff>7620</xdr:rowOff>
                  </from>
                  <to>
                    <xdr:col>17</xdr:col>
                    <xdr:colOff>236220</xdr:colOff>
                    <xdr:row>37</xdr:row>
                    <xdr:rowOff>220980</xdr:rowOff>
                  </to>
                </anchor>
              </controlPr>
            </control>
          </mc:Choice>
        </mc:AlternateContent>
        <mc:AlternateContent xmlns:mc="http://schemas.openxmlformats.org/markup-compatibility/2006">
          <mc:Choice Requires="x14">
            <control shapeId="778249" r:id="rId9" name="Check Box 9">
              <controlPr defaultSize="0" autoFill="0" autoLine="0" autoPict="0">
                <anchor moveWithCells="1">
                  <from>
                    <xdr:col>17</xdr:col>
                    <xdr:colOff>7620</xdr:colOff>
                    <xdr:row>38</xdr:row>
                    <xdr:rowOff>7620</xdr:rowOff>
                  </from>
                  <to>
                    <xdr:col>17</xdr:col>
                    <xdr:colOff>236220</xdr:colOff>
                    <xdr:row>38</xdr:row>
                    <xdr:rowOff>220980</xdr:rowOff>
                  </to>
                </anchor>
              </controlPr>
            </control>
          </mc:Choice>
        </mc:AlternateContent>
        <mc:AlternateContent xmlns:mc="http://schemas.openxmlformats.org/markup-compatibility/2006">
          <mc:Choice Requires="x14">
            <control shapeId="778250" r:id="rId10" name="Check Box 10">
              <controlPr defaultSize="0" autoFill="0" autoLine="0" autoPict="0">
                <anchor moveWithCells="1">
                  <from>
                    <xdr:col>17</xdr:col>
                    <xdr:colOff>7620</xdr:colOff>
                    <xdr:row>39</xdr:row>
                    <xdr:rowOff>7620</xdr:rowOff>
                  </from>
                  <to>
                    <xdr:col>17</xdr:col>
                    <xdr:colOff>236220</xdr:colOff>
                    <xdr:row>39</xdr:row>
                    <xdr:rowOff>220980</xdr:rowOff>
                  </to>
                </anchor>
              </controlPr>
            </control>
          </mc:Choice>
        </mc:AlternateContent>
        <mc:AlternateContent xmlns:mc="http://schemas.openxmlformats.org/markup-compatibility/2006">
          <mc:Choice Requires="x14">
            <control shapeId="778251" r:id="rId11" name="Check Box 11">
              <controlPr defaultSize="0" autoFill="0" autoLine="0" autoPict="0">
                <anchor moveWithCells="1">
                  <from>
                    <xdr:col>17</xdr:col>
                    <xdr:colOff>7620</xdr:colOff>
                    <xdr:row>40</xdr:row>
                    <xdr:rowOff>7620</xdr:rowOff>
                  </from>
                  <to>
                    <xdr:col>17</xdr:col>
                    <xdr:colOff>236220</xdr:colOff>
                    <xdr:row>40</xdr:row>
                    <xdr:rowOff>220980</xdr:rowOff>
                  </to>
                </anchor>
              </controlPr>
            </control>
          </mc:Choice>
        </mc:AlternateContent>
        <mc:AlternateContent xmlns:mc="http://schemas.openxmlformats.org/markup-compatibility/2006">
          <mc:Choice Requires="x14">
            <control shapeId="778252" r:id="rId12" name="Check Box 12">
              <controlPr defaultSize="0" autoFill="0" autoLine="0" autoPict="0">
                <anchor moveWithCells="1">
                  <from>
                    <xdr:col>17</xdr:col>
                    <xdr:colOff>7620</xdr:colOff>
                    <xdr:row>41</xdr:row>
                    <xdr:rowOff>7620</xdr:rowOff>
                  </from>
                  <to>
                    <xdr:col>17</xdr:col>
                    <xdr:colOff>236220</xdr:colOff>
                    <xdr:row>41</xdr:row>
                    <xdr:rowOff>220980</xdr:rowOff>
                  </to>
                </anchor>
              </controlPr>
            </control>
          </mc:Choice>
        </mc:AlternateContent>
        <mc:AlternateContent xmlns:mc="http://schemas.openxmlformats.org/markup-compatibility/2006">
          <mc:Choice Requires="x14">
            <control shapeId="778253" r:id="rId13" name="Check Box 13">
              <controlPr defaultSize="0" autoFill="0" autoLine="0" autoPict="0">
                <anchor moveWithCells="1">
                  <from>
                    <xdr:col>17</xdr:col>
                    <xdr:colOff>7620</xdr:colOff>
                    <xdr:row>42</xdr:row>
                    <xdr:rowOff>7620</xdr:rowOff>
                  </from>
                  <to>
                    <xdr:col>17</xdr:col>
                    <xdr:colOff>236220</xdr:colOff>
                    <xdr:row>42</xdr:row>
                    <xdr:rowOff>220980</xdr:rowOff>
                  </to>
                </anchor>
              </controlPr>
            </control>
          </mc:Choice>
        </mc:AlternateContent>
        <mc:AlternateContent xmlns:mc="http://schemas.openxmlformats.org/markup-compatibility/2006">
          <mc:Choice Requires="x14">
            <control shapeId="778254" r:id="rId14" name="Check Box 14">
              <controlPr defaultSize="0" autoFill="0" autoLine="0" autoPict="0">
                <anchor moveWithCells="1">
                  <from>
                    <xdr:col>17</xdr:col>
                    <xdr:colOff>7620</xdr:colOff>
                    <xdr:row>43</xdr:row>
                    <xdr:rowOff>7620</xdr:rowOff>
                  </from>
                  <to>
                    <xdr:col>17</xdr:col>
                    <xdr:colOff>236220</xdr:colOff>
                    <xdr:row>43</xdr:row>
                    <xdr:rowOff>220980</xdr:rowOff>
                  </to>
                </anchor>
              </controlPr>
            </control>
          </mc:Choice>
        </mc:AlternateContent>
        <mc:AlternateContent xmlns:mc="http://schemas.openxmlformats.org/markup-compatibility/2006">
          <mc:Choice Requires="x14">
            <control shapeId="778255" r:id="rId15" name="Check Box 15">
              <controlPr defaultSize="0" autoFill="0" autoLine="0" autoPict="0">
                <anchor moveWithCells="1">
                  <from>
                    <xdr:col>32</xdr:col>
                    <xdr:colOff>7620</xdr:colOff>
                    <xdr:row>35</xdr:row>
                    <xdr:rowOff>7620</xdr:rowOff>
                  </from>
                  <to>
                    <xdr:col>33</xdr:col>
                    <xdr:colOff>7620</xdr:colOff>
                    <xdr:row>35</xdr:row>
                    <xdr:rowOff>220980</xdr:rowOff>
                  </to>
                </anchor>
              </controlPr>
            </control>
          </mc:Choice>
        </mc:AlternateContent>
        <mc:AlternateContent xmlns:mc="http://schemas.openxmlformats.org/markup-compatibility/2006">
          <mc:Choice Requires="x14">
            <control shapeId="778256" r:id="rId16" name="Check Box 16">
              <controlPr defaultSize="0" autoFill="0" autoLine="0" autoPict="0">
                <anchor moveWithCells="1">
                  <from>
                    <xdr:col>32</xdr:col>
                    <xdr:colOff>7620</xdr:colOff>
                    <xdr:row>36</xdr:row>
                    <xdr:rowOff>7620</xdr:rowOff>
                  </from>
                  <to>
                    <xdr:col>33</xdr:col>
                    <xdr:colOff>7620</xdr:colOff>
                    <xdr:row>36</xdr:row>
                    <xdr:rowOff>220980</xdr:rowOff>
                  </to>
                </anchor>
              </controlPr>
            </control>
          </mc:Choice>
        </mc:AlternateContent>
        <mc:AlternateContent xmlns:mc="http://schemas.openxmlformats.org/markup-compatibility/2006">
          <mc:Choice Requires="x14">
            <control shapeId="778257" r:id="rId17" name="Check Box 17">
              <controlPr defaultSize="0" autoFill="0" autoLine="0" autoPict="0">
                <anchor moveWithCells="1">
                  <from>
                    <xdr:col>32</xdr:col>
                    <xdr:colOff>7620</xdr:colOff>
                    <xdr:row>37</xdr:row>
                    <xdr:rowOff>7620</xdr:rowOff>
                  </from>
                  <to>
                    <xdr:col>33</xdr:col>
                    <xdr:colOff>7620</xdr:colOff>
                    <xdr:row>37</xdr:row>
                    <xdr:rowOff>220980</xdr:rowOff>
                  </to>
                </anchor>
              </controlPr>
            </control>
          </mc:Choice>
        </mc:AlternateContent>
        <mc:AlternateContent xmlns:mc="http://schemas.openxmlformats.org/markup-compatibility/2006">
          <mc:Choice Requires="x14">
            <control shapeId="778258" r:id="rId18" name="Check Box 18">
              <controlPr defaultSize="0" autoFill="0" autoLine="0" autoPict="0">
                <anchor moveWithCells="1">
                  <from>
                    <xdr:col>32</xdr:col>
                    <xdr:colOff>7620</xdr:colOff>
                    <xdr:row>38</xdr:row>
                    <xdr:rowOff>7620</xdr:rowOff>
                  </from>
                  <to>
                    <xdr:col>33</xdr:col>
                    <xdr:colOff>7620</xdr:colOff>
                    <xdr:row>38</xdr:row>
                    <xdr:rowOff>220980</xdr:rowOff>
                  </to>
                </anchor>
              </controlPr>
            </control>
          </mc:Choice>
        </mc:AlternateContent>
        <mc:AlternateContent xmlns:mc="http://schemas.openxmlformats.org/markup-compatibility/2006">
          <mc:Choice Requires="x14">
            <control shapeId="778259" r:id="rId19" name="Check Box 19">
              <controlPr defaultSize="0" autoFill="0" autoLine="0" autoPict="0">
                <anchor moveWithCells="1">
                  <from>
                    <xdr:col>32</xdr:col>
                    <xdr:colOff>7620</xdr:colOff>
                    <xdr:row>39</xdr:row>
                    <xdr:rowOff>7620</xdr:rowOff>
                  </from>
                  <to>
                    <xdr:col>33</xdr:col>
                    <xdr:colOff>7620</xdr:colOff>
                    <xdr:row>39</xdr:row>
                    <xdr:rowOff>220980</xdr:rowOff>
                  </to>
                </anchor>
              </controlPr>
            </control>
          </mc:Choice>
        </mc:AlternateContent>
        <mc:AlternateContent xmlns:mc="http://schemas.openxmlformats.org/markup-compatibility/2006">
          <mc:Choice Requires="x14">
            <control shapeId="778260" r:id="rId20" name="Check Box 20">
              <controlPr defaultSize="0" autoFill="0" autoLine="0" autoPict="0">
                <anchor moveWithCells="1">
                  <from>
                    <xdr:col>32</xdr:col>
                    <xdr:colOff>7620</xdr:colOff>
                    <xdr:row>40</xdr:row>
                    <xdr:rowOff>7620</xdr:rowOff>
                  </from>
                  <to>
                    <xdr:col>33</xdr:col>
                    <xdr:colOff>7620</xdr:colOff>
                    <xdr:row>40</xdr:row>
                    <xdr:rowOff>220980</xdr:rowOff>
                  </to>
                </anchor>
              </controlPr>
            </control>
          </mc:Choice>
        </mc:AlternateContent>
        <mc:AlternateContent xmlns:mc="http://schemas.openxmlformats.org/markup-compatibility/2006">
          <mc:Choice Requires="x14">
            <control shapeId="778261" r:id="rId21" name="Check Box 21">
              <controlPr defaultSize="0" autoFill="0" autoLine="0" autoPict="0">
                <anchor moveWithCells="1">
                  <from>
                    <xdr:col>32</xdr:col>
                    <xdr:colOff>7620</xdr:colOff>
                    <xdr:row>41</xdr:row>
                    <xdr:rowOff>7620</xdr:rowOff>
                  </from>
                  <to>
                    <xdr:col>33</xdr:col>
                    <xdr:colOff>7620</xdr:colOff>
                    <xdr:row>41</xdr:row>
                    <xdr:rowOff>220980</xdr:rowOff>
                  </to>
                </anchor>
              </controlPr>
            </control>
          </mc:Choice>
        </mc:AlternateContent>
        <mc:AlternateContent xmlns:mc="http://schemas.openxmlformats.org/markup-compatibility/2006">
          <mc:Choice Requires="x14">
            <control shapeId="778262" r:id="rId22" name="Check Box 22">
              <controlPr defaultSize="0" autoFill="0" autoLine="0" autoPict="0">
                <anchor moveWithCells="1">
                  <from>
                    <xdr:col>32</xdr:col>
                    <xdr:colOff>7620</xdr:colOff>
                    <xdr:row>42</xdr:row>
                    <xdr:rowOff>7620</xdr:rowOff>
                  </from>
                  <to>
                    <xdr:col>33</xdr:col>
                    <xdr:colOff>7620</xdr:colOff>
                    <xdr:row>42</xdr:row>
                    <xdr:rowOff>220980</xdr:rowOff>
                  </to>
                </anchor>
              </controlPr>
            </control>
          </mc:Choice>
        </mc:AlternateContent>
        <mc:AlternateContent xmlns:mc="http://schemas.openxmlformats.org/markup-compatibility/2006">
          <mc:Choice Requires="x14">
            <control shapeId="778263" r:id="rId23" name="Check Box 23">
              <controlPr defaultSize="0" autoFill="0" autoLine="0" autoPict="0">
                <anchor moveWithCells="1">
                  <from>
                    <xdr:col>32</xdr:col>
                    <xdr:colOff>7620</xdr:colOff>
                    <xdr:row>43</xdr:row>
                    <xdr:rowOff>7620</xdr:rowOff>
                  </from>
                  <to>
                    <xdr:col>33</xdr:col>
                    <xdr:colOff>7620</xdr:colOff>
                    <xdr:row>43</xdr:row>
                    <xdr:rowOff>220980</xdr:rowOff>
                  </to>
                </anchor>
              </controlPr>
            </control>
          </mc:Choice>
        </mc:AlternateContent>
        <mc:AlternateContent xmlns:mc="http://schemas.openxmlformats.org/markup-compatibility/2006">
          <mc:Choice Requires="x14">
            <control shapeId="778264" r:id="rId24" name="Check Box 24">
              <controlPr defaultSize="0" autoFill="0" autoLine="0" autoPict="0">
                <anchor moveWithCells="1">
                  <from>
                    <xdr:col>17</xdr:col>
                    <xdr:colOff>7620</xdr:colOff>
                    <xdr:row>44</xdr:row>
                    <xdr:rowOff>7620</xdr:rowOff>
                  </from>
                  <to>
                    <xdr:col>17</xdr:col>
                    <xdr:colOff>236220</xdr:colOff>
                    <xdr:row>44</xdr:row>
                    <xdr:rowOff>220980</xdr:rowOff>
                  </to>
                </anchor>
              </controlPr>
            </control>
          </mc:Choice>
        </mc:AlternateContent>
        <mc:AlternateContent xmlns:mc="http://schemas.openxmlformats.org/markup-compatibility/2006">
          <mc:Choice Requires="x14">
            <control shapeId="778266" r:id="rId25" name="Check Box 26">
              <controlPr defaultSize="0" autoFill="0" autoLine="0" autoPict="0">
                <anchor moveWithCells="1">
                  <from>
                    <xdr:col>32</xdr:col>
                    <xdr:colOff>7620</xdr:colOff>
                    <xdr:row>44</xdr:row>
                    <xdr:rowOff>7620</xdr:rowOff>
                  </from>
                  <to>
                    <xdr:col>33</xdr:col>
                    <xdr:colOff>7620</xdr:colOff>
                    <xdr:row>44</xdr:row>
                    <xdr:rowOff>220980</xdr:rowOff>
                  </to>
                </anchor>
              </controlPr>
            </control>
          </mc:Choice>
        </mc:AlternateContent>
        <mc:AlternateContent xmlns:mc="http://schemas.openxmlformats.org/markup-compatibility/2006">
          <mc:Choice Requires="x14">
            <control shapeId="778268" r:id="rId26" name="Check Box 28">
              <controlPr defaultSize="0" autoFill="0" autoLine="0" autoPict="0">
                <anchor moveWithCells="1">
                  <from>
                    <xdr:col>17</xdr:col>
                    <xdr:colOff>7620</xdr:colOff>
                    <xdr:row>45</xdr:row>
                    <xdr:rowOff>7620</xdr:rowOff>
                  </from>
                  <to>
                    <xdr:col>17</xdr:col>
                    <xdr:colOff>236220</xdr:colOff>
                    <xdr:row>45</xdr:row>
                    <xdr:rowOff>220980</xdr:rowOff>
                  </to>
                </anchor>
              </controlPr>
            </control>
          </mc:Choice>
        </mc:AlternateContent>
        <mc:AlternateContent xmlns:mc="http://schemas.openxmlformats.org/markup-compatibility/2006">
          <mc:Choice Requires="x14">
            <control shapeId="778302" r:id="rId27" name="Check Box 62">
              <controlPr defaultSize="0" autoFill="0" autoLine="0" autoPict="0">
                <anchor moveWithCells="1">
                  <from>
                    <xdr:col>17</xdr:col>
                    <xdr:colOff>7620</xdr:colOff>
                    <xdr:row>50</xdr:row>
                    <xdr:rowOff>7620</xdr:rowOff>
                  </from>
                  <to>
                    <xdr:col>17</xdr:col>
                    <xdr:colOff>236220</xdr:colOff>
                    <xdr:row>50</xdr:row>
                    <xdr:rowOff>220980</xdr:rowOff>
                  </to>
                </anchor>
              </controlPr>
            </control>
          </mc:Choice>
        </mc:AlternateContent>
        <mc:AlternateContent xmlns:mc="http://schemas.openxmlformats.org/markup-compatibility/2006">
          <mc:Choice Requires="x14">
            <control shapeId="778303" r:id="rId28" name="Check Box 63">
              <controlPr defaultSize="0" autoFill="0" autoLine="0" autoPict="0">
                <anchor moveWithCells="1">
                  <from>
                    <xdr:col>32</xdr:col>
                    <xdr:colOff>7620</xdr:colOff>
                    <xdr:row>50</xdr:row>
                    <xdr:rowOff>7620</xdr:rowOff>
                  </from>
                  <to>
                    <xdr:col>33</xdr:col>
                    <xdr:colOff>7620</xdr:colOff>
                    <xdr:row>50</xdr:row>
                    <xdr:rowOff>220980</xdr:rowOff>
                  </to>
                </anchor>
              </controlPr>
            </control>
          </mc:Choice>
        </mc:AlternateContent>
        <mc:AlternateContent xmlns:mc="http://schemas.openxmlformats.org/markup-compatibility/2006">
          <mc:Choice Requires="x14">
            <control shapeId="778304" r:id="rId29" name="Check Box 64">
              <controlPr defaultSize="0" autoFill="0" autoLine="0" autoPict="0">
                <anchor moveWithCells="1">
                  <from>
                    <xdr:col>17</xdr:col>
                    <xdr:colOff>7620</xdr:colOff>
                    <xdr:row>51</xdr:row>
                    <xdr:rowOff>7620</xdr:rowOff>
                  </from>
                  <to>
                    <xdr:col>17</xdr:col>
                    <xdr:colOff>236220</xdr:colOff>
                    <xdr:row>51</xdr:row>
                    <xdr:rowOff>220980</xdr:rowOff>
                  </to>
                </anchor>
              </controlPr>
            </control>
          </mc:Choice>
        </mc:AlternateContent>
        <mc:AlternateContent xmlns:mc="http://schemas.openxmlformats.org/markup-compatibility/2006">
          <mc:Choice Requires="x14">
            <control shapeId="778305" r:id="rId30" name="Check Box 65">
              <controlPr defaultSize="0" autoFill="0" autoLine="0" autoPict="0">
                <anchor moveWithCells="1">
                  <from>
                    <xdr:col>32</xdr:col>
                    <xdr:colOff>7620</xdr:colOff>
                    <xdr:row>51</xdr:row>
                    <xdr:rowOff>7620</xdr:rowOff>
                  </from>
                  <to>
                    <xdr:col>33</xdr:col>
                    <xdr:colOff>7620</xdr:colOff>
                    <xdr:row>51</xdr:row>
                    <xdr:rowOff>220980</xdr:rowOff>
                  </to>
                </anchor>
              </controlPr>
            </control>
          </mc:Choice>
        </mc:AlternateContent>
        <mc:AlternateContent xmlns:mc="http://schemas.openxmlformats.org/markup-compatibility/2006">
          <mc:Choice Requires="x14">
            <control shapeId="778306" r:id="rId31" name="Check Box 66">
              <controlPr defaultSize="0" autoFill="0" autoLine="0" autoPict="0">
                <anchor moveWithCells="1">
                  <from>
                    <xdr:col>17</xdr:col>
                    <xdr:colOff>7620</xdr:colOff>
                    <xdr:row>52</xdr:row>
                    <xdr:rowOff>7620</xdr:rowOff>
                  </from>
                  <to>
                    <xdr:col>17</xdr:col>
                    <xdr:colOff>236220</xdr:colOff>
                    <xdr:row>52</xdr:row>
                    <xdr:rowOff>220980</xdr:rowOff>
                  </to>
                </anchor>
              </controlPr>
            </control>
          </mc:Choice>
        </mc:AlternateContent>
        <mc:AlternateContent xmlns:mc="http://schemas.openxmlformats.org/markup-compatibility/2006">
          <mc:Choice Requires="x14">
            <control shapeId="778307" r:id="rId32" name="Check Box 67">
              <controlPr defaultSize="0" autoFill="0" autoLine="0" autoPict="0">
                <anchor moveWithCells="1">
                  <from>
                    <xdr:col>32</xdr:col>
                    <xdr:colOff>7620</xdr:colOff>
                    <xdr:row>52</xdr:row>
                    <xdr:rowOff>7620</xdr:rowOff>
                  </from>
                  <to>
                    <xdr:col>33</xdr:col>
                    <xdr:colOff>7620</xdr:colOff>
                    <xdr:row>52</xdr:row>
                    <xdr:rowOff>220980</xdr:rowOff>
                  </to>
                </anchor>
              </controlPr>
            </control>
          </mc:Choice>
        </mc:AlternateContent>
        <mc:AlternateContent xmlns:mc="http://schemas.openxmlformats.org/markup-compatibility/2006">
          <mc:Choice Requires="x14">
            <control shapeId="778308" r:id="rId33" name="Check Box 68">
              <controlPr defaultSize="0" autoFill="0" autoLine="0" autoPict="0">
                <anchor moveWithCells="1">
                  <from>
                    <xdr:col>17</xdr:col>
                    <xdr:colOff>7620</xdr:colOff>
                    <xdr:row>53</xdr:row>
                    <xdr:rowOff>7620</xdr:rowOff>
                  </from>
                  <to>
                    <xdr:col>17</xdr:col>
                    <xdr:colOff>236220</xdr:colOff>
                    <xdr:row>53</xdr:row>
                    <xdr:rowOff>220980</xdr:rowOff>
                  </to>
                </anchor>
              </controlPr>
            </control>
          </mc:Choice>
        </mc:AlternateContent>
        <mc:AlternateContent xmlns:mc="http://schemas.openxmlformats.org/markup-compatibility/2006">
          <mc:Choice Requires="x14">
            <control shapeId="778309" r:id="rId34" name="Check Box 69">
              <controlPr defaultSize="0" autoFill="0" autoLine="0" autoPict="0">
                <anchor moveWithCells="1">
                  <from>
                    <xdr:col>32</xdr:col>
                    <xdr:colOff>7620</xdr:colOff>
                    <xdr:row>53</xdr:row>
                    <xdr:rowOff>7620</xdr:rowOff>
                  </from>
                  <to>
                    <xdr:col>33</xdr:col>
                    <xdr:colOff>7620</xdr:colOff>
                    <xdr:row>53</xdr:row>
                    <xdr:rowOff>220980</xdr:rowOff>
                  </to>
                </anchor>
              </controlPr>
            </control>
          </mc:Choice>
        </mc:AlternateContent>
        <mc:AlternateContent xmlns:mc="http://schemas.openxmlformats.org/markup-compatibility/2006">
          <mc:Choice Requires="x14">
            <control shapeId="778312" r:id="rId35" name="Check Box 72">
              <controlPr defaultSize="0" autoFill="0" autoLine="0" autoPict="0">
                <anchor moveWithCells="1">
                  <from>
                    <xdr:col>17</xdr:col>
                    <xdr:colOff>7620</xdr:colOff>
                    <xdr:row>54</xdr:row>
                    <xdr:rowOff>7620</xdr:rowOff>
                  </from>
                  <to>
                    <xdr:col>17</xdr:col>
                    <xdr:colOff>236220</xdr:colOff>
                    <xdr:row>54</xdr:row>
                    <xdr:rowOff>220980</xdr:rowOff>
                  </to>
                </anchor>
              </controlPr>
            </control>
          </mc:Choice>
        </mc:AlternateContent>
        <mc:AlternateContent xmlns:mc="http://schemas.openxmlformats.org/markup-compatibility/2006">
          <mc:Choice Requires="x14">
            <control shapeId="778313" r:id="rId36" name="Check Box 73">
              <controlPr defaultSize="0" autoFill="0" autoLine="0" autoPict="0">
                <anchor moveWithCells="1">
                  <from>
                    <xdr:col>32</xdr:col>
                    <xdr:colOff>7620</xdr:colOff>
                    <xdr:row>54</xdr:row>
                    <xdr:rowOff>7620</xdr:rowOff>
                  </from>
                  <to>
                    <xdr:col>33</xdr:col>
                    <xdr:colOff>7620</xdr:colOff>
                    <xdr:row>54</xdr:row>
                    <xdr:rowOff>220980</xdr:rowOff>
                  </to>
                </anchor>
              </controlPr>
            </control>
          </mc:Choice>
        </mc:AlternateContent>
        <mc:AlternateContent xmlns:mc="http://schemas.openxmlformats.org/markup-compatibility/2006">
          <mc:Choice Requires="x14">
            <control shapeId="778314" r:id="rId37" name="Check Box 74">
              <controlPr defaultSize="0" autoFill="0" autoLine="0" autoPict="0">
                <anchor moveWithCells="1">
                  <from>
                    <xdr:col>17</xdr:col>
                    <xdr:colOff>7620</xdr:colOff>
                    <xdr:row>55</xdr:row>
                    <xdr:rowOff>7620</xdr:rowOff>
                  </from>
                  <to>
                    <xdr:col>17</xdr:col>
                    <xdr:colOff>236220</xdr:colOff>
                    <xdr:row>55</xdr:row>
                    <xdr:rowOff>220980</xdr:rowOff>
                  </to>
                </anchor>
              </controlPr>
            </control>
          </mc:Choice>
        </mc:AlternateContent>
        <mc:AlternateContent xmlns:mc="http://schemas.openxmlformats.org/markup-compatibility/2006">
          <mc:Choice Requires="x14">
            <control shapeId="778315" r:id="rId38" name="Check Box 75">
              <controlPr defaultSize="0" autoFill="0" autoLine="0" autoPict="0">
                <anchor moveWithCells="1">
                  <from>
                    <xdr:col>32</xdr:col>
                    <xdr:colOff>7620</xdr:colOff>
                    <xdr:row>55</xdr:row>
                    <xdr:rowOff>7620</xdr:rowOff>
                  </from>
                  <to>
                    <xdr:col>33</xdr:col>
                    <xdr:colOff>7620</xdr:colOff>
                    <xdr:row>55</xdr:row>
                    <xdr:rowOff>220980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dimension ref="B1:BB107"/>
  <sheetViews>
    <sheetView showGridLines="0" showRowColHeaders="0" showRuler="0" showWhiteSpace="0" zoomScale="120" zoomScaleNormal="120" zoomScaleSheetLayoutView="120" zoomScalePageLayoutView="120" workbookViewId="0">
      <selection activeCell="AT3" sqref="AT3:AT4"/>
    </sheetView>
  </sheetViews>
  <sheetFormatPr baseColWidth="10" defaultColWidth="11.44140625" defaultRowHeight="13.2"/>
  <cols>
    <col min="1" max="1" width="1.109375" style="101" customWidth="1"/>
    <col min="2" max="2" width="2.44140625" style="101" customWidth="1"/>
    <col min="3" max="3" width="3.5546875" style="101" customWidth="1"/>
    <col min="4" max="10" width="2.44140625" style="101" customWidth="1"/>
    <col min="11" max="11" width="0.88671875" style="101" customWidth="1"/>
    <col min="12" max="21" width="2.44140625" style="101" customWidth="1"/>
    <col min="22" max="22" width="3.88671875" style="101" customWidth="1"/>
    <col min="23" max="37" width="2.44140625" style="101" customWidth="1"/>
    <col min="38" max="38" width="1.109375" style="101" customWidth="1"/>
    <col min="39" max="39" width="23.88671875" style="101" bestFit="1" customWidth="1"/>
    <col min="40" max="40" width="2.6640625" style="101" customWidth="1"/>
    <col min="41" max="41" width="27.88671875" style="101" bestFit="1" customWidth="1"/>
    <col min="42" max="42" width="6.6640625" style="101" customWidth="1"/>
    <col min="43" max="43" width="2.88671875" style="101" customWidth="1"/>
    <col min="44" max="45" width="3.109375" style="240" customWidth="1"/>
    <col min="46" max="46" width="3" style="240" customWidth="1"/>
    <col min="47" max="54" width="11.44140625" style="240" customWidth="1"/>
    <col min="55" max="16384" width="11.44140625" style="101"/>
  </cols>
  <sheetData>
    <row r="1" spans="2:46" ht="6" customHeight="1"/>
    <row r="2" spans="2:46" ht="6.75" customHeight="1"/>
    <row r="3" spans="2:46" ht="16.2">
      <c r="B3" s="102"/>
      <c r="C3" s="929" t="str">
        <f>IF(ISBLANK('1_vorbereitung'!X6),"",'1_vorbereitung'!X6)</f>
        <v/>
      </c>
      <c r="D3" s="929"/>
      <c r="E3" s="929"/>
      <c r="F3" s="929"/>
      <c r="G3" s="929"/>
      <c r="H3" s="929"/>
      <c r="I3" s="929"/>
      <c r="J3" s="929"/>
      <c r="K3" s="929"/>
      <c r="L3" s="929"/>
      <c r="M3" s="929"/>
      <c r="N3" s="929"/>
      <c r="O3" s="929"/>
      <c r="P3" s="929"/>
      <c r="Q3" s="103"/>
      <c r="R3" s="103"/>
      <c r="S3" s="103"/>
      <c r="T3" s="103"/>
      <c r="U3" s="104"/>
      <c r="V3" s="930" t="str">
        <f>CONCATENATE('1_vorbereitung'!F7," - ",'1_vorbereitung'!F8," ",,'1_vorbereitung'!J8)</f>
        <v xml:space="preserve"> -  </v>
      </c>
      <c r="W3" s="931"/>
      <c r="X3" s="931"/>
      <c r="Y3" s="931"/>
      <c r="Z3" s="931"/>
      <c r="AA3" s="931"/>
      <c r="AB3" s="931"/>
      <c r="AC3" s="931"/>
      <c r="AD3" s="931"/>
      <c r="AE3" s="931"/>
      <c r="AF3" s="931"/>
      <c r="AG3" s="931"/>
      <c r="AH3" s="931"/>
      <c r="AI3" s="931"/>
      <c r="AJ3" s="931"/>
      <c r="AL3" s="766"/>
      <c r="AM3" s="767" t="s">
        <v>360</v>
      </c>
      <c r="AN3" s="767"/>
      <c r="AO3" s="767" t="s">
        <v>361</v>
      </c>
      <c r="AP3" s="768"/>
      <c r="AR3" s="877" t="s">
        <v>246</v>
      </c>
      <c r="AS3" s="439" t="s">
        <v>832</v>
      </c>
      <c r="AT3" s="879" t="s">
        <v>242</v>
      </c>
    </row>
    <row r="4" spans="2:46" ht="15" customHeight="1">
      <c r="C4" s="105"/>
      <c r="D4" s="105"/>
      <c r="E4" s="105"/>
      <c r="F4" s="105"/>
      <c r="G4" s="105"/>
      <c r="H4" s="105"/>
      <c r="I4" s="105"/>
      <c r="J4" s="105"/>
      <c r="K4" s="105"/>
      <c r="L4" s="105"/>
      <c r="M4" s="105"/>
      <c r="N4" s="105"/>
      <c r="O4" s="105"/>
      <c r="P4" s="105"/>
      <c r="Q4" s="105"/>
      <c r="R4" s="105"/>
      <c r="S4" s="105"/>
      <c r="T4" s="105"/>
      <c r="U4" s="106"/>
      <c r="V4" s="107" t="s">
        <v>84</v>
      </c>
      <c r="W4" s="932" t="str">
        <f>IF(ISBLANK('1_vorbereitung'!X7),"",'1_vorbereitung'!X7)</f>
        <v/>
      </c>
      <c r="X4" s="932"/>
      <c r="Y4" s="932"/>
      <c r="Z4" s="932"/>
      <c r="AA4" s="932"/>
      <c r="AB4" s="932"/>
      <c r="AC4" s="932"/>
      <c r="AD4" s="932"/>
      <c r="AE4" s="932"/>
      <c r="AF4" s="932"/>
      <c r="AG4" s="932"/>
      <c r="AH4" s="932"/>
      <c r="AI4" s="932"/>
      <c r="AJ4" s="932"/>
      <c r="AL4" s="769"/>
      <c r="AM4" s="677" t="s">
        <v>362</v>
      </c>
      <c r="AN4" s="780" t="s">
        <v>363</v>
      </c>
      <c r="AO4" s="678"/>
      <c r="AP4" s="773"/>
      <c r="AR4" s="878"/>
      <c r="AS4" s="441"/>
      <c r="AT4" s="880"/>
    </row>
    <row r="5" spans="2:46" ht="15" customHeight="1">
      <c r="C5" s="105"/>
      <c r="D5" s="105"/>
      <c r="E5" s="105"/>
      <c r="F5" s="105"/>
      <c r="G5" s="105"/>
      <c r="H5" s="105"/>
      <c r="I5" s="105"/>
      <c r="J5" s="105"/>
      <c r="K5" s="105"/>
      <c r="L5" s="105"/>
      <c r="M5" s="105"/>
      <c r="N5" s="105"/>
      <c r="O5" s="105"/>
      <c r="P5" s="105"/>
      <c r="Q5" s="105"/>
      <c r="R5" s="105"/>
      <c r="S5" s="105"/>
      <c r="T5" s="105"/>
      <c r="U5" s="106"/>
      <c r="V5" s="107" t="s">
        <v>85</v>
      </c>
      <c r="W5" s="932" t="str">
        <f>IF(ISBLANK('1_vorbereitung'!X8),"",'1_vorbereitung'!X8)</f>
        <v/>
      </c>
      <c r="X5" s="932"/>
      <c r="Y5" s="932"/>
      <c r="Z5" s="932"/>
      <c r="AA5" s="932"/>
      <c r="AB5" s="932"/>
      <c r="AC5" s="932"/>
      <c r="AD5" s="932"/>
      <c r="AE5" s="932"/>
      <c r="AF5" s="932"/>
      <c r="AG5" s="932"/>
      <c r="AH5" s="932"/>
      <c r="AI5" s="932"/>
      <c r="AJ5" s="932"/>
      <c r="AL5" s="769"/>
      <c r="AM5" s="770" t="s">
        <v>696</v>
      </c>
      <c r="AN5" s="771"/>
      <c r="AO5" s="772" t="str">
        <f>IF(ISERROR(VLOOKUP(AO4,AR56:BA99,4,FALSE)),"",VLOOKUP(AO4,AR56:BA99,4,FALSE))</f>
        <v/>
      </c>
      <c r="AP5" s="773"/>
    </row>
    <row r="6" spans="2:46" ht="15" customHeight="1">
      <c r="C6" s="105"/>
      <c r="D6" s="105"/>
      <c r="E6" s="105"/>
      <c r="F6" s="105"/>
      <c r="G6" s="105"/>
      <c r="H6" s="105"/>
      <c r="I6" s="105"/>
      <c r="J6" s="105"/>
      <c r="K6" s="105"/>
      <c r="L6" s="105"/>
      <c r="M6" s="105"/>
      <c r="N6" s="105"/>
      <c r="O6" s="105"/>
      <c r="P6" s="105"/>
      <c r="Q6" s="105"/>
      <c r="R6" s="105"/>
      <c r="S6" s="105"/>
      <c r="T6" s="105"/>
      <c r="U6" s="105"/>
      <c r="V6" s="108"/>
      <c r="W6" s="238"/>
      <c r="X6" s="238"/>
      <c r="Y6" s="238"/>
      <c r="Z6" s="238"/>
      <c r="AA6" s="238"/>
      <c r="AB6" s="238"/>
      <c r="AC6" s="238"/>
      <c r="AD6" s="238"/>
      <c r="AE6" s="238"/>
      <c r="AF6" s="238"/>
      <c r="AG6" s="238"/>
      <c r="AH6" s="238"/>
      <c r="AI6" s="238"/>
      <c r="AJ6" s="238"/>
      <c r="AL6" s="769"/>
      <c r="AM6" s="774"/>
      <c r="AN6" s="771"/>
      <c r="AO6" s="775" t="str">
        <f>IF(ISERROR(CONCATENATE(VLOOKUP(AO4,AR56:BA99,6,FALSE)," ",VLOOKUP(AO4,AR56:BA99,5,FALSE))),"",CONCATENATE(VLOOKUP(AO4,AR56:BA99,6,FALSE)," ",VLOOKUP(AO4,AR56:BA99,5,FALSE)))</f>
        <v/>
      </c>
      <c r="AP6" s="773"/>
    </row>
    <row r="7" spans="2:46" ht="15" customHeight="1">
      <c r="C7" s="105"/>
      <c r="D7" s="105"/>
      <c r="E7" s="105"/>
      <c r="F7" s="105"/>
      <c r="G7" s="105"/>
      <c r="H7" s="105"/>
      <c r="I7" s="105"/>
      <c r="J7" s="105"/>
      <c r="K7" s="105"/>
      <c r="L7" s="105"/>
      <c r="M7" s="105"/>
      <c r="N7" s="105"/>
      <c r="O7" s="105"/>
      <c r="P7" s="105"/>
      <c r="Q7" s="105"/>
      <c r="R7" s="105"/>
      <c r="S7" s="105"/>
      <c r="T7" s="105"/>
      <c r="U7" s="105"/>
      <c r="V7" s="108"/>
      <c r="W7" s="238"/>
      <c r="X7" s="238"/>
      <c r="Y7" s="238"/>
      <c r="Z7" s="238"/>
      <c r="AA7" s="238"/>
      <c r="AB7" s="238"/>
      <c r="AC7" s="238"/>
      <c r="AD7" s="238"/>
      <c r="AE7" s="238"/>
      <c r="AF7" s="238"/>
      <c r="AG7" s="238"/>
      <c r="AH7" s="238"/>
      <c r="AI7" s="238"/>
      <c r="AJ7" s="238"/>
      <c r="AL7" s="769"/>
      <c r="AM7" s="771"/>
      <c r="AN7" s="771"/>
      <c r="AO7" s="771" t="str">
        <f>IF(ISERROR(CONCATENATE("Tel.: ",VLOOKUP(AO4,AR56:BA99,9,FALSE))),"",CONCATENATE("Tel.: ",VLOOKUP(AO4,AR56:BA99,9,FALSE)))</f>
        <v/>
      </c>
      <c r="AP7" s="773"/>
    </row>
    <row r="8" spans="2:46" ht="15" customHeight="1">
      <c r="C8" s="933" t="str">
        <f>CONCATENATE('1_vorbereitung'!X6," - ",'1_vorbereitung'!F7," - ",'1_vorbereitung'!F8," ",,'1_vorbereitung'!J8)</f>
        <v xml:space="preserve"> -  -  </v>
      </c>
      <c r="D8" s="933"/>
      <c r="E8" s="933"/>
      <c r="F8" s="933"/>
      <c r="G8" s="933"/>
      <c r="H8" s="933"/>
      <c r="I8" s="933"/>
      <c r="J8" s="933"/>
      <c r="K8" s="933"/>
      <c r="L8" s="933"/>
      <c r="M8" s="933"/>
      <c r="N8" s="933"/>
      <c r="O8" s="933"/>
      <c r="P8" s="933"/>
      <c r="Q8" s="933"/>
      <c r="R8" s="933"/>
      <c r="AL8" s="769"/>
      <c r="AM8" s="771"/>
      <c r="AN8" s="771"/>
      <c r="AO8" s="775" t="str">
        <f>IF(ISERROR(CONCATENATE("Fax: ",VLOOKUP(AO4,AR56:BA99,10,FALSE))),"",CONCATENATE("Fax: ",VLOOKUP(AO4,AR56:BA99,10,FALSE)))</f>
        <v/>
      </c>
      <c r="AP8" s="773"/>
    </row>
    <row r="9" spans="2:46" ht="7.5" customHeight="1">
      <c r="C9" s="109"/>
      <c r="D9" s="10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L9" s="769"/>
      <c r="AM9" s="771"/>
      <c r="AN9" s="771"/>
      <c r="AO9" s="771"/>
      <c r="AP9" s="773"/>
    </row>
    <row r="10" spans="2:46" ht="5.25" customHeight="1">
      <c r="C10" s="110"/>
      <c r="D10" s="111"/>
      <c r="E10" s="111"/>
      <c r="F10" s="111"/>
      <c r="G10" s="111"/>
      <c r="H10" s="111"/>
      <c r="I10" s="111"/>
      <c r="J10" s="111"/>
      <c r="K10" s="111"/>
      <c r="L10" s="111"/>
      <c r="M10" s="111"/>
      <c r="N10" s="111"/>
      <c r="O10" s="111"/>
      <c r="P10" s="111"/>
      <c r="Q10" s="111"/>
      <c r="R10" s="112"/>
      <c r="S10" s="109"/>
      <c r="T10" s="109"/>
      <c r="U10" s="109"/>
      <c r="V10" s="109"/>
      <c r="W10" s="109"/>
      <c r="X10" s="109"/>
      <c r="Y10" s="109"/>
      <c r="Z10" s="109"/>
      <c r="AA10" s="109"/>
      <c r="AB10" s="109"/>
      <c r="AC10" s="109"/>
      <c r="AD10" s="109"/>
      <c r="AE10" s="109"/>
      <c r="AF10" s="109"/>
      <c r="AG10" s="109"/>
      <c r="AH10" s="109"/>
      <c r="AI10" s="109"/>
      <c r="AJ10" s="109"/>
      <c r="AL10" s="769"/>
      <c r="AM10" s="771"/>
      <c r="AN10" s="771"/>
      <c r="AO10" s="771"/>
      <c r="AP10" s="773"/>
    </row>
    <row r="11" spans="2:46" ht="15" customHeight="1">
      <c r="C11" s="934" t="str">
        <f>IF(ISBLANK(AO4),"",AO4)</f>
        <v/>
      </c>
      <c r="D11" s="935"/>
      <c r="E11" s="935"/>
      <c r="F11" s="935"/>
      <c r="G11" s="935"/>
      <c r="H11" s="935"/>
      <c r="I11" s="935"/>
      <c r="J11" s="935"/>
      <c r="K11" s="935"/>
      <c r="L11" s="935"/>
      <c r="M11" s="935"/>
      <c r="N11" s="935"/>
      <c r="O11" s="935"/>
      <c r="P11" s="935"/>
      <c r="Q11" s="935"/>
      <c r="R11" s="936"/>
      <c r="S11" s="109"/>
      <c r="T11" s="109"/>
      <c r="U11" s="109"/>
      <c r="V11" s="109"/>
      <c r="W11" s="109"/>
      <c r="X11" s="109"/>
      <c r="Y11" s="109"/>
      <c r="Z11" s="109"/>
      <c r="AA11" s="109"/>
      <c r="AB11" s="109"/>
      <c r="AC11" s="109"/>
      <c r="AD11" s="109"/>
      <c r="AE11" s="109"/>
      <c r="AF11" s="109"/>
      <c r="AG11" s="109"/>
      <c r="AH11" s="109"/>
      <c r="AI11" s="109"/>
      <c r="AJ11" s="109"/>
      <c r="AL11" s="769"/>
      <c r="AM11" s="771"/>
      <c r="AN11" s="771"/>
      <c r="AO11" s="775" t="str">
        <f>IF(ISERROR(VLOOKUP(AO4,AR56:BA99,8,FALSE)),"",VLOOKUP(AO4,AR56:BA99,8,FALSE))</f>
        <v/>
      </c>
      <c r="AP11" s="773"/>
    </row>
    <row r="12" spans="2:46" ht="15" customHeight="1">
      <c r="C12" s="937" t="str">
        <f>IF(ISBLANK(AO5),"",AO5)</f>
        <v/>
      </c>
      <c r="D12" s="938"/>
      <c r="E12" s="938"/>
      <c r="F12" s="938"/>
      <c r="G12" s="938"/>
      <c r="H12" s="938"/>
      <c r="I12" s="938"/>
      <c r="J12" s="938"/>
      <c r="K12" s="938"/>
      <c r="L12" s="938"/>
      <c r="M12" s="938"/>
      <c r="N12" s="938"/>
      <c r="O12" s="938"/>
      <c r="P12" s="938"/>
      <c r="Q12" s="938"/>
      <c r="R12" s="939"/>
      <c r="S12" s="109"/>
      <c r="T12" s="109"/>
      <c r="U12" s="109"/>
      <c r="V12" s="109"/>
      <c r="W12" s="109"/>
      <c r="X12" s="109"/>
      <c r="Y12" s="109"/>
      <c r="Z12" s="109"/>
      <c r="AA12" s="109"/>
      <c r="AB12" s="109"/>
      <c r="AC12" s="109"/>
      <c r="AD12" s="109"/>
      <c r="AE12" s="109"/>
      <c r="AF12" s="109"/>
      <c r="AG12" s="109"/>
      <c r="AH12" s="109"/>
      <c r="AI12" s="109"/>
      <c r="AJ12" s="109"/>
      <c r="AL12" s="776"/>
      <c r="AM12" s="777"/>
      <c r="AN12" s="777"/>
      <c r="AO12" s="778"/>
      <c r="AP12" s="779"/>
    </row>
    <row r="13" spans="2:46" ht="15" customHeight="1">
      <c r="C13" s="940"/>
      <c r="D13" s="941"/>
      <c r="E13" s="941"/>
      <c r="F13" s="941"/>
      <c r="G13" s="941"/>
      <c r="H13" s="941"/>
      <c r="I13" s="941"/>
      <c r="J13" s="941"/>
      <c r="K13" s="941"/>
      <c r="L13" s="941"/>
      <c r="M13" s="941"/>
      <c r="N13" s="941"/>
      <c r="O13" s="941"/>
      <c r="P13" s="941"/>
      <c r="Q13" s="941"/>
      <c r="R13" s="942"/>
      <c r="S13" s="109"/>
      <c r="T13" s="109"/>
      <c r="U13" s="109"/>
      <c r="V13" s="109"/>
      <c r="W13" s="109"/>
      <c r="X13" s="109"/>
      <c r="Y13" s="109"/>
      <c r="Z13" s="109"/>
      <c r="AA13" s="109"/>
      <c r="AB13" s="109"/>
      <c r="AC13" s="109"/>
      <c r="AD13" s="109"/>
      <c r="AE13" s="109"/>
      <c r="AF13" s="109"/>
      <c r="AG13" s="109"/>
      <c r="AH13" s="109"/>
      <c r="AI13" s="109"/>
      <c r="AJ13" s="109"/>
    </row>
    <row r="14" spans="2:46" ht="15" customHeight="1">
      <c r="C14" s="943" t="str">
        <f>IF(ISBLANK(AO6),"",AO6)</f>
        <v/>
      </c>
      <c r="D14" s="944"/>
      <c r="E14" s="944"/>
      <c r="F14" s="944"/>
      <c r="G14" s="944"/>
      <c r="H14" s="944"/>
      <c r="I14" s="944"/>
      <c r="J14" s="944"/>
      <c r="K14" s="944"/>
      <c r="L14" s="944"/>
      <c r="M14" s="944"/>
      <c r="N14" s="944"/>
      <c r="O14" s="944"/>
      <c r="P14" s="944"/>
      <c r="Q14" s="944"/>
      <c r="R14" s="945"/>
      <c r="S14" s="109"/>
      <c r="T14" s="109"/>
      <c r="U14" s="109"/>
      <c r="V14" s="109"/>
      <c r="W14" s="109"/>
      <c r="X14" s="109"/>
      <c r="Y14" s="109"/>
      <c r="Z14" s="109"/>
      <c r="AA14" s="109"/>
      <c r="AB14" s="109"/>
      <c r="AC14" s="109"/>
      <c r="AD14" s="109"/>
      <c r="AE14" s="109"/>
      <c r="AF14" s="109"/>
      <c r="AG14" s="109"/>
      <c r="AH14" s="109"/>
      <c r="AI14" s="109"/>
      <c r="AJ14" s="109"/>
    </row>
    <row r="15" spans="2:46" ht="15" customHeight="1">
      <c r="C15" s="946"/>
      <c r="D15" s="947"/>
      <c r="E15" s="947"/>
      <c r="F15" s="947"/>
      <c r="G15" s="947"/>
      <c r="H15" s="947"/>
      <c r="I15" s="947"/>
      <c r="J15" s="947"/>
      <c r="K15" s="947"/>
      <c r="L15" s="947"/>
      <c r="M15" s="947"/>
      <c r="N15" s="947"/>
      <c r="O15" s="947"/>
      <c r="P15" s="947"/>
      <c r="Q15" s="947"/>
      <c r="R15" s="948"/>
      <c r="S15" s="109"/>
      <c r="T15" s="109"/>
      <c r="U15" s="109"/>
      <c r="V15" s="109"/>
      <c r="W15" s="109"/>
      <c r="X15" s="109"/>
      <c r="Y15" s="109"/>
      <c r="Z15" s="109"/>
      <c r="AA15" s="109"/>
      <c r="AB15" s="109"/>
      <c r="AC15" s="109"/>
      <c r="AD15" s="109"/>
      <c r="AE15" s="109"/>
      <c r="AF15" s="109"/>
      <c r="AG15" s="109"/>
      <c r="AH15" s="109"/>
      <c r="AI15" s="109"/>
      <c r="AJ15" s="109"/>
    </row>
    <row r="16" spans="2:46" ht="15" customHeight="1">
      <c r="C16" s="113"/>
      <c r="D16" s="113"/>
      <c r="E16" s="113"/>
      <c r="F16" s="113"/>
      <c r="G16" s="113"/>
      <c r="H16" s="113"/>
      <c r="I16" s="113"/>
      <c r="J16" s="113"/>
      <c r="K16" s="113"/>
      <c r="L16" s="113"/>
      <c r="M16" s="113"/>
      <c r="N16" s="113"/>
      <c r="O16" s="113"/>
      <c r="P16" s="113"/>
      <c r="Q16" s="113"/>
      <c r="R16" s="113"/>
      <c r="S16" s="109"/>
      <c r="T16" s="109"/>
      <c r="U16" s="109"/>
      <c r="V16" s="109"/>
      <c r="W16" s="109"/>
      <c r="X16" s="109"/>
      <c r="Y16" s="109"/>
      <c r="Z16" s="109"/>
      <c r="AA16" s="109"/>
      <c r="AB16" s="109"/>
      <c r="AC16" s="109"/>
      <c r="AD16" s="109"/>
      <c r="AE16" s="109"/>
      <c r="AF16" s="109"/>
      <c r="AG16" s="109"/>
      <c r="AH16" s="109"/>
      <c r="AI16" s="109"/>
      <c r="AJ16" s="109"/>
    </row>
    <row r="17" spans="3:36" ht="15" customHeight="1">
      <c r="C17" s="113"/>
      <c r="D17" s="113"/>
      <c r="E17" s="113"/>
      <c r="F17" s="113"/>
      <c r="G17" s="113"/>
      <c r="H17" s="113"/>
      <c r="I17" s="113"/>
      <c r="J17" s="113"/>
      <c r="K17" s="113"/>
      <c r="L17" s="113"/>
      <c r="M17" s="113"/>
      <c r="N17" s="113"/>
      <c r="O17" s="113"/>
      <c r="P17" s="113"/>
      <c r="Q17" s="113"/>
      <c r="R17" s="113"/>
      <c r="S17" s="109"/>
      <c r="T17" s="109"/>
      <c r="U17" s="109"/>
      <c r="V17" s="109"/>
      <c r="W17" s="109"/>
      <c r="X17" s="109"/>
      <c r="Y17" s="109"/>
      <c r="Z17" s="109"/>
      <c r="AA17" s="109"/>
      <c r="AB17" s="109"/>
      <c r="AC17" s="109"/>
      <c r="AD17" s="109"/>
      <c r="AE17" s="109"/>
      <c r="AF17" s="109"/>
      <c r="AG17" s="109"/>
      <c r="AH17" s="109"/>
      <c r="AI17" s="109"/>
      <c r="AJ17" s="109"/>
    </row>
    <row r="18" spans="3:36" ht="15" customHeight="1">
      <c r="C18" s="109"/>
      <c r="D18" s="10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09"/>
      <c r="AJ18" s="109"/>
    </row>
    <row r="19" spans="3:36" ht="15" customHeight="1">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252" t="str">
        <f>CONCATENATE('1_vorbereitung'!J8,", den")</f>
        <v>, den</v>
      </c>
      <c r="AA19" s="927">
        <v>1</v>
      </c>
      <c r="AB19" s="927"/>
      <c r="AC19" s="927"/>
      <c r="AD19" s="927"/>
      <c r="AE19" s="927"/>
      <c r="AF19" s="927"/>
      <c r="AG19" s="927"/>
      <c r="AH19" s="927"/>
      <c r="AI19" s="114"/>
      <c r="AJ19" s="109"/>
    </row>
    <row r="20" spans="3:36" ht="15" customHeight="1">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row>
    <row r="21" spans="3:36" ht="15" customHeight="1">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row>
    <row r="22" spans="3:36" ht="15" customHeight="1">
      <c r="C22" s="115"/>
      <c r="D22" s="109"/>
      <c r="E22" s="109"/>
      <c r="F22" s="109"/>
      <c r="G22" s="109"/>
      <c r="H22" s="109"/>
      <c r="I22" s="109"/>
      <c r="J22" s="109"/>
      <c r="K22" s="109"/>
      <c r="L22" s="109"/>
      <c r="M22" s="109"/>
      <c r="N22" s="109"/>
      <c r="O22" s="109"/>
      <c r="P22" s="109"/>
      <c r="Q22" s="109"/>
      <c r="R22" s="109"/>
      <c r="S22" s="109"/>
      <c r="T22" s="109"/>
      <c r="U22" s="109"/>
      <c r="V22" s="109"/>
      <c r="W22" s="109"/>
      <c r="X22" s="109"/>
      <c r="Y22" s="109"/>
      <c r="Z22" s="109"/>
      <c r="AA22" s="109"/>
      <c r="AB22" s="109"/>
      <c r="AC22" s="109"/>
      <c r="AD22" s="109"/>
      <c r="AE22" s="109"/>
      <c r="AF22" s="109"/>
      <c r="AG22" s="109"/>
      <c r="AH22" s="109"/>
      <c r="AI22" s="109"/>
      <c r="AJ22" s="109"/>
    </row>
    <row r="23" spans="3:36" ht="15" customHeight="1">
      <c r="C23" s="115" t="s">
        <v>252</v>
      </c>
      <c r="D23" s="109"/>
      <c r="E23" s="109"/>
      <c r="F23" s="109"/>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row>
    <row r="24" spans="3:36" ht="15" customHeight="1">
      <c r="C24" s="115"/>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row>
    <row r="25" spans="3:36" ht="15" customHeight="1">
      <c r="C25" s="109"/>
      <c r="D25" s="10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row>
    <row r="26" spans="3:36" ht="15" customHeight="1">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row>
    <row r="27" spans="3:36" ht="15" customHeight="1">
      <c r="C27" s="109" t="s">
        <v>86</v>
      </c>
      <c r="D27" s="109"/>
      <c r="E27" s="109"/>
      <c r="F27" s="109"/>
      <c r="G27" s="109"/>
      <c r="H27" s="109"/>
      <c r="I27" s="109"/>
      <c r="J27" s="109"/>
      <c r="K27" s="109"/>
      <c r="L27" s="109"/>
      <c r="M27" s="109"/>
      <c r="N27" s="109"/>
      <c r="O27" s="109"/>
      <c r="P27" s="109"/>
      <c r="Q27" s="109"/>
      <c r="R27" s="109"/>
      <c r="S27" s="109"/>
      <c r="T27" s="109"/>
      <c r="U27" s="109"/>
      <c r="V27" s="109"/>
      <c r="W27" s="109"/>
      <c r="X27" s="109"/>
      <c r="Y27" s="109"/>
      <c r="Z27" s="109"/>
      <c r="AA27" s="109"/>
      <c r="AB27" s="109"/>
      <c r="AC27" s="109"/>
      <c r="AD27" s="109"/>
      <c r="AE27" s="109"/>
      <c r="AF27" s="109"/>
      <c r="AG27" s="109"/>
      <c r="AH27" s="109"/>
      <c r="AI27" s="109"/>
      <c r="AJ27" s="109"/>
    </row>
    <row r="28" spans="3:36" ht="15" customHeight="1">
      <c r="C28" s="109"/>
      <c r="D28" s="109"/>
      <c r="E28" s="109"/>
      <c r="F28" s="109"/>
      <c r="G28" s="109"/>
      <c r="H28" s="109"/>
      <c r="I28" s="109"/>
      <c r="J28" s="109"/>
      <c r="K28" s="109"/>
      <c r="L28" s="109"/>
      <c r="M28" s="109"/>
      <c r="N28" s="109"/>
      <c r="O28" s="109"/>
      <c r="P28" s="109"/>
      <c r="Q28" s="109"/>
      <c r="R28" s="109"/>
      <c r="S28" s="109"/>
      <c r="T28" s="109"/>
      <c r="U28" s="109"/>
      <c r="V28" s="109"/>
      <c r="W28" s="109"/>
      <c r="X28" s="109"/>
      <c r="Y28" s="109"/>
      <c r="Z28" s="109"/>
      <c r="AA28" s="109"/>
      <c r="AB28" s="109"/>
      <c r="AC28" s="109"/>
      <c r="AD28" s="109"/>
      <c r="AE28" s="109"/>
      <c r="AF28" s="109"/>
      <c r="AG28" s="109"/>
      <c r="AH28" s="109"/>
      <c r="AI28" s="109"/>
      <c r="AJ28" s="109"/>
    </row>
    <row r="29" spans="3:36" ht="15" customHeight="1">
      <c r="C29" s="109" t="s">
        <v>644</v>
      </c>
      <c r="D29" s="109"/>
      <c r="E29" s="109"/>
      <c r="F29" s="109"/>
      <c r="G29" s="109"/>
      <c r="H29" s="109"/>
      <c r="I29" s="109"/>
      <c r="J29" s="109"/>
      <c r="K29" s="109"/>
      <c r="L29" s="114"/>
      <c r="M29" s="114"/>
      <c r="N29" s="114"/>
      <c r="O29" s="114"/>
      <c r="P29" s="114"/>
      <c r="Q29" s="114"/>
      <c r="R29" s="114"/>
      <c r="S29" s="114"/>
      <c r="T29" s="114"/>
      <c r="U29" s="109"/>
      <c r="V29" s="109"/>
      <c r="W29" s="109"/>
      <c r="X29" s="109"/>
      <c r="Y29" s="109"/>
      <c r="Z29" s="109"/>
      <c r="AA29" s="109"/>
      <c r="AB29" s="109"/>
      <c r="AC29" s="109"/>
      <c r="AD29" s="109"/>
      <c r="AE29" s="109"/>
      <c r="AF29" s="109"/>
      <c r="AG29" s="109"/>
      <c r="AH29" s="109"/>
      <c r="AI29" s="109"/>
      <c r="AJ29" s="109"/>
    </row>
    <row r="30" spans="3:36" ht="15" customHeight="1">
      <c r="C30" s="109" t="s">
        <v>645</v>
      </c>
      <c r="D30" s="109"/>
      <c r="E30" s="109"/>
      <c r="F30" s="109"/>
      <c r="G30" s="109"/>
      <c r="H30" s="109"/>
      <c r="I30" s="109"/>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row>
    <row r="31" spans="3:36" ht="15" customHeight="1">
      <c r="C31" s="109"/>
      <c r="D31" s="109"/>
      <c r="E31" s="109"/>
      <c r="F31" s="109"/>
      <c r="G31" s="109"/>
      <c r="H31" s="109"/>
      <c r="I31" s="109"/>
      <c r="J31" s="109"/>
      <c r="K31" s="109"/>
      <c r="L31" s="109"/>
      <c r="M31" s="109"/>
      <c r="N31" s="109"/>
      <c r="O31" s="109"/>
      <c r="P31" s="109"/>
      <c r="Q31" s="109"/>
      <c r="R31" s="109"/>
      <c r="S31" s="109"/>
      <c r="T31" s="109"/>
      <c r="U31" s="109"/>
      <c r="V31" s="109"/>
      <c r="W31" s="109"/>
      <c r="X31" s="109"/>
      <c r="Y31" s="109"/>
      <c r="Z31" s="109"/>
      <c r="AA31" s="109"/>
      <c r="AB31" s="109"/>
      <c r="AC31" s="109"/>
      <c r="AD31" s="109"/>
      <c r="AE31" s="109"/>
      <c r="AF31" s="109"/>
      <c r="AG31" s="109"/>
      <c r="AH31" s="109"/>
      <c r="AI31" s="109"/>
      <c r="AJ31" s="109"/>
    </row>
    <row r="32" spans="3:36" ht="15" customHeight="1">
      <c r="C32" s="109" t="s">
        <v>253</v>
      </c>
      <c r="D32" s="928">
        <f>'1_vorbereitung'!F6</f>
        <v>0</v>
      </c>
      <c r="E32" s="928"/>
      <c r="F32" s="928"/>
      <c r="G32" s="928"/>
      <c r="H32" s="928"/>
      <c r="I32" s="928"/>
      <c r="J32" s="109" t="s">
        <v>254</v>
      </c>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row>
    <row r="33" spans="3:36" ht="15" customHeight="1">
      <c r="C33" s="109"/>
      <c r="D33" s="109"/>
      <c r="E33" s="109"/>
      <c r="F33" s="109"/>
      <c r="G33" s="109"/>
      <c r="H33" s="109"/>
      <c r="I33" s="109"/>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row>
    <row r="34" spans="3:36" ht="15" customHeight="1">
      <c r="C34" s="109" t="s">
        <v>646</v>
      </c>
      <c r="D34" s="109"/>
      <c r="E34" s="109"/>
      <c r="F34" s="109"/>
      <c r="G34" s="109"/>
      <c r="H34" s="109"/>
      <c r="I34" s="109"/>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row>
    <row r="35" spans="3:36" ht="15" customHeight="1">
      <c r="C35" s="109" t="s">
        <v>255</v>
      </c>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row>
    <row r="36" spans="3:36" ht="15" customHeight="1">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row>
    <row r="37" spans="3:36" ht="15" customHeight="1">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row>
    <row r="38" spans="3:36" ht="15" customHeight="1">
      <c r="C38" s="109" t="s">
        <v>87</v>
      </c>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row>
    <row r="39" spans="3:36" ht="15" customHeight="1">
      <c r="C39" s="109"/>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row>
    <row r="40" spans="3:36" ht="15" customHeight="1">
      <c r="C40" s="109"/>
      <c r="D40" s="109"/>
      <c r="E40" s="109"/>
      <c r="F40" s="109"/>
      <c r="G40" s="109"/>
      <c r="H40" s="109"/>
      <c r="I40" s="109"/>
      <c r="J40" s="109"/>
      <c r="K40" s="109"/>
      <c r="L40" s="109"/>
      <c r="M40" s="109"/>
      <c r="N40" s="109"/>
      <c r="O40" s="109"/>
      <c r="P40" s="109"/>
      <c r="Q40" s="109"/>
      <c r="R40" s="109"/>
      <c r="S40" s="109"/>
      <c r="T40" s="109"/>
      <c r="U40" s="109"/>
      <c r="V40" s="109"/>
      <c r="W40" s="109"/>
      <c r="X40" s="109"/>
      <c r="Y40" s="109"/>
      <c r="Z40" s="109"/>
      <c r="AA40" s="109"/>
      <c r="AB40" s="109"/>
      <c r="AC40" s="109"/>
      <c r="AD40" s="109"/>
      <c r="AE40" s="109"/>
      <c r="AF40" s="109"/>
      <c r="AG40" s="109"/>
      <c r="AH40" s="109"/>
      <c r="AI40" s="109"/>
      <c r="AJ40" s="109"/>
    </row>
    <row r="41" spans="3:36" ht="15" customHeight="1">
      <c r="C41" s="253"/>
      <c r="D41" s="253"/>
      <c r="E41" s="253"/>
      <c r="F41" s="253"/>
      <c r="G41" s="253"/>
      <c r="H41" s="253"/>
      <c r="I41" s="253"/>
      <c r="J41" s="253"/>
      <c r="K41" s="253"/>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row>
    <row r="42" spans="3:36" ht="15" customHeight="1">
      <c r="C42" s="109" t="str">
        <f>IF(ISBLANK('1_vorbereitung'!X6),"",'1_vorbereitung'!X6)</f>
        <v/>
      </c>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row>
    <row r="43" spans="3:36" ht="15" customHeight="1">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row>
    <row r="44" spans="3:36" ht="15" customHeight="1">
      <c r="C44" s="109"/>
      <c r="D44" s="109"/>
      <c r="E44" s="109"/>
      <c r="F44" s="109"/>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09"/>
      <c r="AF44" s="109"/>
      <c r="AG44" s="109"/>
      <c r="AH44" s="109"/>
      <c r="AI44" s="109"/>
      <c r="AJ44" s="109"/>
    </row>
    <row r="45" spans="3:36" ht="15" customHeight="1">
      <c r="C45" s="109"/>
      <c r="D45" s="10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row>
    <row r="46" spans="3:36" ht="15" customHeight="1">
      <c r="C46" s="109"/>
      <c r="D46" s="109"/>
      <c r="E46" s="109"/>
      <c r="F46" s="109"/>
      <c r="G46" s="109"/>
      <c r="H46" s="109"/>
      <c r="I46" s="109"/>
      <c r="J46" s="109"/>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row>
    <row r="47" spans="3:36" ht="15" customHeight="1">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row>
    <row r="48" spans="3:36" ht="15" customHeight="1">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row>
    <row r="49" spans="3:54" ht="15" customHeight="1">
      <c r="C49" s="109"/>
      <c r="D49" s="10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row>
    <row r="55" spans="3:54" hidden="1">
      <c r="AR55" s="241" t="s">
        <v>365</v>
      </c>
      <c r="AS55" s="242" t="s">
        <v>366</v>
      </c>
      <c r="AT55" s="242" t="s">
        <v>367</v>
      </c>
      <c r="AU55" s="242" t="s">
        <v>368</v>
      </c>
      <c r="AV55" s="242" t="s">
        <v>369</v>
      </c>
      <c r="AW55" s="242" t="s">
        <v>370</v>
      </c>
      <c r="AX55" s="242" t="s">
        <v>371</v>
      </c>
      <c r="AY55" s="242" t="s">
        <v>372</v>
      </c>
      <c r="AZ55" s="242" t="s">
        <v>373</v>
      </c>
      <c r="BA55" s="242" t="s">
        <v>374</v>
      </c>
      <c r="BB55" s="243" t="s">
        <v>362</v>
      </c>
    </row>
    <row r="56" spans="3:54" hidden="1">
      <c r="AR56" s="244" t="s">
        <v>652</v>
      </c>
      <c r="AS56" s="245"/>
      <c r="AT56" s="245"/>
      <c r="AU56" s="245" t="s">
        <v>32</v>
      </c>
      <c r="AV56" s="245" t="s">
        <v>32</v>
      </c>
      <c r="AW56" s="245" t="s">
        <v>32</v>
      </c>
      <c r="AX56" s="245" t="s">
        <v>32</v>
      </c>
      <c r="AY56" s="245" t="s">
        <v>32</v>
      </c>
      <c r="AZ56" s="245" t="s">
        <v>32</v>
      </c>
      <c r="BA56" s="245" t="s">
        <v>32</v>
      </c>
      <c r="BB56" s="246" t="s">
        <v>383</v>
      </c>
    </row>
    <row r="57" spans="3:54" hidden="1">
      <c r="AR57" s="244" t="s">
        <v>375</v>
      </c>
      <c r="AS57" s="245" t="s">
        <v>376</v>
      </c>
      <c r="AT57" s="245" t="s">
        <v>377</v>
      </c>
      <c r="AU57" s="245">
        <v>1964</v>
      </c>
      <c r="AV57" s="245" t="s">
        <v>378</v>
      </c>
      <c r="AW57" s="245">
        <v>74009</v>
      </c>
      <c r="AX57" s="245" t="s">
        <v>379</v>
      </c>
      <c r="AY57" s="245" t="s">
        <v>380</v>
      </c>
      <c r="AZ57" s="245" t="s">
        <v>381</v>
      </c>
      <c r="BA57" s="245" t="s">
        <v>382</v>
      </c>
      <c r="BB57" s="246" t="s">
        <v>390</v>
      </c>
    </row>
    <row r="58" spans="3:54" hidden="1">
      <c r="AR58" s="244" t="s">
        <v>384</v>
      </c>
      <c r="AS58" s="245" t="s">
        <v>376</v>
      </c>
      <c r="AT58" s="245" t="s">
        <v>385</v>
      </c>
      <c r="AU58" s="245">
        <v>3249</v>
      </c>
      <c r="AV58" s="245" t="s">
        <v>386</v>
      </c>
      <c r="AW58" s="245">
        <v>76018</v>
      </c>
      <c r="AX58" s="245" t="s">
        <v>379</v>
      </c>
      <c r="AY58" s="245" t="s">
        <v>387</v>
      </c>
      <c r="AZ58" s="245" t="s">
        <v>388</v>
      </c>
      <c r="BA58" s="245" t="s">
        <v>389</v>
      </c>
      <c r="BB58" s="246" t="s">
        <v>396</v>
      </c>
    </row>
    <row r="59" spans="3:54" hidden="1">
      <c r="AR59" s="244" t="s">
        <v>391</v>
      </c>
      <c r="AS59" s="245" t="s">
        <v>376</v>
      </c>
      <c r="AT59" s="245" t="s">
        <v>392</v>
      </c>
      <c r="AU59" s="245">
        <v>1620</v>
      </c>
      <c r="AV59" s="245" t="s">
        <v>392</v>
      </c>
      <c r="AW59" s="245">
        <v>79506</v>
      </c>
      <c r="AX59" s="245" t="s">
        <v>379</v>
      </c>
      <c r="AY59" s="245" t="s">
        <v>393</v>
      </c>
      <c r="AZ59" s="245" t="s">
        <v>394</v>
      </c>
      <c r="BA59" s="245" t="s">
        <v>395</v>
      </c>
      <c r="BB59" s="246" t="s">
        <v>403</v>
      </c>
    </row>
    <row r="60" spans="3:54" hidden="1">
      <c r="AR60" s="244" t="s">
        <v>397</v>
      </c>
      <c r="AS60" s="245" t="s">
        <v>376</v>
      </c>
      <c r="AT60" s="245" t="s">
        <v>398</v>
      </c>
      <c r="AU60" s="245">
        <v>420</v>
      </c>
      <c r="AV60" s="245" t="s">
        <v>399</v>
      </c>
      <c r="AW60" s="245">
        <v>78204</v>
      </c>
      <c r="AX60" s="245" t="s">
        <v>379</v>
      </c>
      <c r="AY60" s="245" t="s">
        <v>400</v>
      </c>
      <c r="AZ60" s="245" t="s">
        <v>401</v>
      </c>
      <c r="BA60" s="245" t="s">
        <v>402</v>
      </c>
      <c r="BB60" s="246" t="s">
        <v>410</v>
      </c>
    </row>
    <row r="61" spans="3:54" hidden="1">
      <c r="AR61" s="244" t="s">
        <v>404</v>
      </c>
      <c r="AS61" s="245" t="s">
        <v>376</v>
      </c>
      <c r="AT61" s="245" t="s">
        <v>405</v>
      </c>
      <c r="AU61" s="245">
        <v>131061</v>
      </c>
      <c r="AV61" s="245" t="s">
        <v>406</v>
      </c>
      <c r="AW61" s="245">
        <v>70068</v>
      </c>
      <c r="AX61" s="245" t="s">
        <v>379</v>
      </c>
      <c r="AY61" s="245" t="s">
        <v>407</v>
      </c>
      <c r="AZ61" s="245" t="s">
        <v>408</v>
      </c>
      <c r="BA61" s="245" t="s">
        <v>409</v>
      </c>
      <c r="BB61" s="246" t="s">
        <v>417</v>
      </c>
    </row>
    <row r="62" spans="3:54" hidden="1">
      <c r="AR62" s="244" t="s">
        <v>411</v>
      </c>
      <c r="AS62" s="245" t="s">
        <v>376</v>
      </c>
      <c r="AT62" s="245" t="s">
        <v>412</v>
      </c>
      <c r="AU62" s="245">
        <v>2269</v>
      </c>
      <c r="AV62" s="245" t="s">
        <v>413</v>
      </c>
      <c r="AW62" s="245">
        <v>89012</v>
      </c>
      <c r="AX62" s="245" t="s">
        <v>379</v>
      </c>
      <c r="AY62" s="245" t="s">
        <v>414</v>
      </c>
      <c r="AZ62" s="245" t="s">
        <v>415</v>
      </c>
      <c r="BA62" s="245" t="s">
        <v>416</v>
      </c>
      <c r="BB62" s="246" t="s">
        <v>423</v>
      </c>
    </row>
    <row r="63" spans="3:54" hidden="1">
      <c r="N63" s="924" t="s">
        <v>3</v>
      </c>
      <c r="O63" s="925"/>
      <c r="P63" s="926"/>
      <c r="AR63" s="244" t="s">
        <v>418</v>
      </c>
      <c r="AS63" s="245" t="s">
        <v>390</v>
      </c>
      <c r="AT63" s="245" t="s">
        <v>419</v>
      </c>
      <c r="AU63" s="245">
        <v>101765</v>
      </c>
      <c r="AV63" s="245" t="s">
        <v>419</v>
      </c>
      <c r="AW63" s="245">
        <v>86007</v>
      </c>
      <c r="AX63" s="245" t="s">
        <v>379</v>
      </c>
      <c r="AY63" s="245" t="s">
        <v>420</v>
      </c>
      <c r="AZ63" s="245" t="s">
        <v>421</v>
      </c>
      <c r="BA63" s="245" t="s">
        <v>422</v>
      </c>
      <c r="BB63" s="246" t="s">
        <v>429</v>
      </c>
    </row>
    <row r="64" spans="3:54" hidden="1">
      <c r="AR64" s="244" t="s">
        <v>424</v>
      </c>
      <c r="AS64" s="245" t="s">
        <v>390</v>
      </c>
      <c r="AT64" s="245" t="s">
        <v>425</v>
      </c>
      <c r="AU64" s="245">
        <v>1595</v>
      </c>
      <c r="AV64" s="245" t="s">
        <v>425</v>
      </c>
      <c r="AW64" s="245">
        <v>84003</v>
      </c>
      <c r="AX64" s="245" t="s">
        <v>379</v>
      </c>
      <c r="AY64" s="245" t="s">
        <v>426</v>
      </c>
      <c r="AZ64" s="245" t="s">
        <v>427</v>
      </c>
      <c r="BA64" s="245" t="s">
        <v>428</v>
      </c>
      <c r="BB64" s="246" t="s">
        <v>436</v>
      </c>
    </row>
    <row r="65" spans="44:54" hidden="1">
      <c r="AR65" s="244" t="s">
        <v>430</v>
      </c>
      <c r="AS65" s="245" t="s">
        <v>390</v>
      </c>
      <c r="AT65" s="245" t="s">
        <v>431</v>
      </c>
      <c r="AU65" s="245">
        <v>200945</v>
      </c>
      <c r="AV65" s="245" t="s">
        <v>432</v>
      </c>
      <c r="AW65" s="245">
        <v>80009</v>
      </c>
      <c r="AX65" s="245" t="s">
        <v>379</v>
      </c>
      <c r="AY65" s="245" t="s">
        <v>433</v>
      </c>
      <c r="AZ65" s="245" t="s">
        <v>434</v>
      </c>
      <c r="BA65" s="245" t="s">
        <v>435</v>
      </c>
      <c r="BB65" s="246" t="s">
        <v>442</v>
      </c>
    </row>
    <row r="66" spans="44:54" hidden="1">
      <c r="AR66" s="244" t="s">
        <v>437</v>
      </c>
      <c r="AS66" s="245" t="s">
        <v>390</v>
      </c>
      <c r="AT66" s="245" t="s">
        <v>438</v>
      </c>
      <c r="AU66" s="245">
        <v>2259</v>
      </c>
      <c r="AV66" s="245" t="s">
        <v>438</v>
      </c>
      <c r="AW66" s="245">
        <v>90009</v>
      </c>
      <c r="AX66" s="245" t="s">
        <v>379</v>
      </c>
      <c r="AY66" s="245" t="s">
        <v>439</v>
      </c>
      <c r="AZ66" s="245" t="s">
        <v>440</v>
      </c>
      <c r="BA66" s="245" t="s">
        <v>441</v>
      </c>
      <c r="BB66" s="246" t="s">
        <v>448</v>
      </c>
    </row>
    <row r="67" spans="44:54" hidden="1">
      <c r="AR67" s="244" t="s">
        <v>443</v>
      </c>
      <c r="AS67" s="245" t="s">
        <v>390</v>
      </c>
      <c r="AT67" s="245" t="s">
        <v>444</v>
      </c>
      <c r="AU67" s="245">
        <v>200142</v>
      </c>
      <c r="AV67" s="245" t="s">
        <v>444</v>
      </c>
      <c r="AW67" s="245">
        <v>93060</v>
      </c>
      <c r="AX67" s="245" t="s">
        <v>379</v>
      </c>
      <c r="AY67" s="245" t="s">
        <v>445</v>
      </c>
      <c r="AZ67" s="245" t="s">
        <v>446</v>
      </c>
      <c r="BA67" s="245" t="s">
        <v>447</v>
      </c>
      <c r="BB67" s="246" t="s">
        <v>454</v>
      </c>
    </row>
    <row r="68" spans="44:54" hidden="1">
      <c r="AR68" s="244" t="s">
        <v>449</v>
      </c>
      <c r="AS68" s="245" t="s">
        <v>390</v>
      </c>
      <c r="AT68" s="245" t="s">
        <v>450</v>
      </c>
      <c r="AU68" s="245">
        <v>100354</v>
      </c>
      <c r="AV68" s="245" t="s">
        <v>450</v>
      </c>
      <c r="AW68" s="245">
        <v>83003</v>
      </c>
      <c r="AX68" s="245" t="s">
        <v>379</v>
      </c>
      <c r="AY68" s="245" t="s">
        <v>451</v>
      </c>
      <c r="AZ68" s="245" t="s">
        <v>452</v>
      </c>
      <c r="BA68" s="245" t="s">
        <v>453</v>
      </c>
      <c r="BB68" s="246" t="s">
        <v>460</v>
      </c>
    </row>
    <row r="69" spans="44:54" hidden="1">
      <c r="AR69" s="244" t="s">
        <v>455</v>
      </c>
      <c r="AS69" s="245" t="s">
        <v>390</v>
      </c>
      <c r="AT69" s="245" t="s">
        <v>456</v>
      </c>
      <c r="AU69" s="245">
        <v>4150</v>
      </c>
      <c r="AV69" s="245" t="s">
        <v>456</v>
      </c>
      <c r="AW69" s="245">
        <v>97409</v>
      </c>
      <c r="AX69" s="245" t="s">
        <v>379</v>
      </c>
      <c r="AY69" s="245" t="s">
        <v>457</v>
      </c>
      <c r="AZ69" s="245" t="s">
        <v>458</v>
      </c>
      <c r="BA69" s="245" t="s">
        <v>459</v>
      </c>
      <c r="BB69" s="246" t="s">
        <v>466</v>
      </c>
    </row>
    <row r="70" spans="44:54" hidden="1">
      <c r="AR70" s="244" t="s">
        <v>461</v>
      </c>
      <c r="AS70" s="245" t="s">
        <v>396</v>
      </c>
      <c r="AT70" s="245" t="s">
        <v>462</v>
      </c>
      <c r="AU70" s="245">
        <v>610274</v>
      </c>
      <c r="AV70" s="245" t="s">
        <v>396</v>
      </c>
      <c r="AW70" s="245">
        <v>10924</v>
      </c>
      <c r="AX70" s="245" t="s">
        <v>379</v>
      </c>
      <c r="AY70" s="245" t="s">
        <v>463</v>
      </c>
      <c r="AZ70" s="245" t="s">
        <v>464</v>
      </c>
      <c r="BA70" s="245" t="s">
        <v>465</v>
      </c>
      <c r="BB70" s="246" t="s">
        <v>473</v>
      </c>
    </row>
    <row r="71" spans="44:54" hidden="1">
      <c r="AR71" s="244" t="s">
        <v>467</v>
      </c>
      <c r="AS71" s="245" t="s">
        <v>403</v>
      </c>
      <c r="AT71" s="245" t="s">
        <v>468</v>
      </c>
      <c r="AU71" s="245">
        <v>1284</v>
      </c>
      <c r="AV71" s="245" t="s">
        <v>469</v>
      </c>
      <c r="AW71" s="245">
        <v>15202</v>
      </c>
      <c r="AX71" s="245" t="s">
        <v>379</v>
      </c>
      <c r="AY71" s="245" t="s">
        <v>470</v>
      </c>
      <c r="AZ71" s="245" t="s">
        <v>471</v>
      </c>
      <c r="BA71" s="245" t="s">
        <v>472</v>
      </c>
      <c r="BB71" s="246" t="s">
        <v>480</v>
      </c>
    </row>
    <row r="72" spans="44:54" hidden="1">
      <c r="AR72" s="244" t="s">
        <v>474</v>
      </c>
      <c r="AS72" s="245" t="s">
        <v>403</v>
      </c>
      <c r="AT72" s="245" t="s">
        <v>475</v>
      </c>
      <c r="AU72" s="245">
        <v>900210</v>
      </c>
      <c r="AV72" s="245" t="s">
        <v>476</v>
      </c>
      <c r="AW72" s="245">
        <v>14438</v>
      </c>
      <c r="AX72" s="245" t="s">
        <v>379</v>
      </c>
      <c r="AY72" s="245" t="s">
        <v>477</v>
      </c>
      <c r="AZ72" s="245" t="s">
        <v>478</v>
      </c>
      <c r="BA72" s="245" t="s">
        <v>479</v>
      </c>
      <c r="BB72" s="246"/>
    </row>
    <row r="73" spans="44:54" hidden="1">
      <c r="AR73" s="244" t="s">
        <v>481</v>
      </c>
      <c r="AS73" s="245" t="s">
        <v>410</v>
      </c>
      <c r="AT73" s="245" t="s">
        <v>482</v>
      </c>
      <c r="AU73" s="245">
        <v>105020</v>
      </c>
      <c r="AV73" s="245" t="s">
        <v>410</v>
      </c>
      <c r="AW73" s="245">
        <v>28050</v>
      </c>
      <c r="AX73" s="245" t="s">
        <v>379</v>
      </c>
      <c r="AY73" s="245" t="s">
        <v>483</v>
      </c>
      <c r="AZ73" s="245" t="s">
        <v>484</v>
      </c>
      <c r="BA73" s="245" t="s">
        <v>485</v>
      </c>
      <c r="BB73" s="246"/>
    </row>
    <row r="74" spans="44:54" hidden="1">
      <c r="AR74" s="244" t="s">
        <v>486</v>
      </c>
      <c r="AS74" s="245" t="s">
        <v>417</v>
      </c>
      <c r="AT74" s="245" t="s">
        <v>487</v>
      </c>
      <c r="AU74" s="245"/>
      <c r="AV74" s="245"/>
      <c r="AW74" s="245"/>
      <c r="AX74" s="245" t="s">
        <v>379</v>
      </c>
      <c r="AY74" s="245" t="s">
        <v>488</v>
      </c>
      <c r="AZ74" s="245" t="s">
        <v>489</v>
      </c>
      <c r="BA74" s="245" t="s">
        <v>490</v>
      </c>
      <c r="BB74" s="246"/>
    </row>
    <row r="75" spans="44:54" hidden="1">
      <c r="AR75" s="244" t="s">
        <v>491</v>
      </c>
      <c r="AS75" s="245" t="s">
        <v>417</v>
      </c>
      <c r="AT75" s="245" t="s">
        <v>487</v>
      </c>
      <c r="AU75" s="245">
        <v>111453</v>
      </c>
      <c r="AV75" s="245" t="s">
        <v>417</v>
      </c>
      <c r="AW75" s="245">
        <v>20414</v>
      </c>
      <c r="AX75" s="245" t="s">
        <v>379</v>
      </c>
      <c r="AY75" s="245" t="s">
        <v>492</v>
      </c>
      <c r="AZ75" s="245" t="s">
        <v>493</v>
      </c>
      <c r="BA75" s="245" t="s">
        <v>494</v>
      </c>
      <c r="BB75" s="246"/>
    </row>
    <row r="76" spans="44:54" hidden="1">
      <c r="AR76" s="244" t="s">
        <v>495</v>
      </c>
      <c r="AS76" s="245" t="s">
        <v>417</v>
      </c>
      <c r="AT76" s="245" t="s">
        <v>487</v>
      </c>
      <c r="AU76" s="245">
        <v>111484</v>
      </c>
      <c r="AV76" s="245" t="s">
        <v>417</v>
      </c>
      <c r="AW76" s="245">
        <v>20414</v>
      </c>
      <c r="AX76" s="245" t="s">
        <v>379</v>
      </c>
      <c r="AY76" s="245" t="s">
        <v>496</v>
      </c>
      <c r="AZ76" s="245" t="s">
        <v>497</v>
      </c>
      <c r="BA76" s="245" t="s">
        <v>498</v>
      </c>
      <c r="BB76" s="246"/>
    </row>
    <row r="77" spans="44:54" hidden="1">
      <c r="AR77" s="244" t="s">
        <v>499</v>
      </c>
      <c r="AS77" s="245" t="s">
        <v>423</v>
      </c>
      <c r="AT77" s="245" t="s">
        <v>500</v>
      </c>
      <c r="AU77" s="245">
        <v>100742</v>
      </c>
      <c r="AV77" s="245" t="s">
        <v>501</v>
      </c>
      <c r="AW77" s="245">
        <v>64207</v>
      </c>
      <c r="AX77" s="245" t="s">
        <v>379</v>
      </c>
      <c r="AY77" s="245" t="s">
        <v>502</v>
      </c>
      <c r="AZ77" s="245" t="s">
        <v>503</v>
      </c>
      <c r="BA77" s="245" t="s">
        <v>504</v>
      </c>
      <c r="BB77" s="246"/>
    </row>
    <row r="78" spans="44:54" hidden="1">
      <c r="AR78" s="244" t="s">
        <v>505</v>
      </c>
      <c r="AS78" s="245" t="s">
        <v>423</v>
      </c>
      <c r="AT78" s="245" t="s">
        <v>506</v>
      </c>
      <c r="AU78" s="245">
        <v>180432</v>
      </c>
      <c r="AV78" s="245" t="s">
        <v>507</v>
      </c>
      <c r="AW78" s="245">
        <v>60085</v>
      </c>
      <c r="AX78" s="245" t="s">
        <v>379</v>
      </c>
      <c r="AY78" s="245" t="s">
        <v>508</v>
      </c>
      <c r="AZ78" s="245" t="s">
        <v>509</v>
      </c>
      <c r="BA78" s="245" t="s">
        <v>510</v>
      </c>
      <c r="BB78" s="246"/>
    </row>
    <row r="79" spans="44:54" hidden="1">
      <c r="AR79" s="244" t="s">
        <v>511</v>
      </c>
      <c r="AS79" s="245" t="s">
        <v>423</v>
      </c>
      <c r="AT79" s="245" t="s">
        <v>512</v>
      </c>
      <c r="AU79" s="245">
        <v>100454</v>
      </c>
      <c r="AV79" s="245" t="s">
        <v>512</v>
      </c>
      <c r="AW79" s="245">
        <v>35334</v>
      </c>
      <c r="AX79" s="245" t="s">
        <v>379</v>
      </c>
      <c r="AY79" s="245" t="s">
        <v>513</v>
      </c>
      <c r="AZ79" s="245" t="s">
        <v>514</v>
      </c>
      <c r="BA79" s="245" t="s">
        <v>515</v>
      </c>
      <c r="BB79" s="246"/>
    </row>
    <row r="80" spans="44:54" hidden="1">
      <c r="AR80" s="244" t="s">
        <v>516</v>
      </c>
      <c r="AS80" s="245" t="s">
        <v>517</v>
      </c>
      <c r="AT80" s="245" t="s">
        <v>518</v>
      </c>
      <c r="AU80" s="245">
        <v>2264</v>
      </c>
      <c r="AV80" s="245" t="s">
        <v>519</v>
      </c>
      <c r="AW80" s="245">
        <v>18409</v>
      </c>
      <c r="AX80" s="245" t="s">
        <v>379</v>
      </c>
      <c r="AY80" s="245" t="s">
        <v>520</v>
      </c>
      <c r="AZ80" s="245" t="s">
        <v>521</v>
      </c>
      <c r="BA80" s="245" t="s">
        <v>522</v>
      </c>
      <c r="BB80" s="246"/>
    </row>
    <row r="81" spans="44:54" hidden="1">
      <c r="AR81" s="244" t="s">
        <v>523</v>
      </c>
      <c r="AS81" s="245" t="s">
        <v>436</v>
      </c>
      <c r="AT81" s="245" t="s">
        <v>524</v>
      </c>
      <c r="AU81" s="245">
        <v>2338</v>
      </c>
      <c r="AV81" s="245" t="s">
        <v>525</v>
      </c>
      <c r="AW81" s="245">
        <v>38013</v>
      </c>
      <c r="AX81" s="245" t="s">
        <v>379</v>
      </c>
      <c r="AY81" s="245" t="s">
        <v>526</v>
      </c>
      <c r="AZ81" s="245" t="s">
        <v>527</v>
      </c>
      <c r="BA81" s="245" t="s">
        <v>528</v>
      </c>
      <c r="BB81" s="246"/>
    </row>
    <row r="82" spans="44:54" hidden="1">
      <c r="AR82" s="244" t="s">
        <v>529</v>
      </c>
      <c r="AS82" s="245" t="s">
        <v>436</v>
      </c>
      <c r="AT82" s="245" t="s">
        <v>530</v>
      </c>
      <c r="AU82" s="245">
        <v>2629</v>
      </c>
      <c r="AV82" s="245" t="s">
        <v>531</v>
      </c>
      <c r="AW82" s="245">
        <v>30026</v>
      </c>
      <c r="AX82" s="245" t="s">
        <v>379</v>
      </c>
      <c r="AY82" s="245" t="s">
        <v>532</v>
      </c>
      <c r="AZ82" s="245" t="s">
        <v>533</v>
      </c>
      <c r="BA82" s="245" t="s">
        <v>534</v>
      </c>
      <c r="BB82" s="246"/>
    </row>
    <row r="83" spans="44:54" hidden="1">
      <c r="AR83" s="244" t="s">
        <v>535</v>
      </c>
      <c r="AS83" s="245" t="s">
        <v>436</v>
      </c>
      <c r="AT83" s="245" t="s">
        <v>536</v>
      </c>
      <c r="AU83" s="245">
        <v>2469</v>
      </c>
      <c r="AV83" s="245" t="s">
        <v>537</v>
      </c>
      <c r="AW83" s="245">
        <v>26014</v>
      </c>
      <c r="AX83" s="245" t="s">
        <v>379</v>
      </c>
      <c r="AY83" s="245" t="s">
        <v>538</v>
      </c>
      <c r="AZ83" s="245" t="s">
        <v>539</v>
      </c>
      <c r="BA83" s="245" t="s">
        <v>540</v>
      </c>
      <c r="BB83" s="246"/>
    </row>
    <row r="84" spans="44:54" hidden="1">
      <c r="AR84" s="244" t="s">
        <v>541</v>
      </c>
      <c r="AS84" s="245" t="s">
        <v>436</v>
      </c>
      <c r="AT84" s="245" t="s">
        <v>542</v>
      </c>
      <c r="AU84" s="245">
        <v>2148</v>
      </c>
      <c r="AV84" s="245" t="s">
        <v>543</v>
      </c>
      <c r="AW84" s="245">
        <v>49011</v>
      </c>
      <c r="AX84" s="245" t="s">
        <v>379</v>
      </c>
      <c r="AY84" s="245" t="s">
        <v>544</v>
      </c>
      <c r="AZ84" s="245" t="s">
        <v>545</v>
      </c>
      <c r="BA84" s="245" t="s">
        <v>546</v>
      </c>
      <c r="BB84" s="246"/>
    </row>
    <row r="85" spans="44:54" hidden="1">
      <c r="AR85" s="244" t="s">
        <v>547</v>
      </c>
      <c r="AS85" s="245" t="s">
        <v>548</v>
      </c>
      <c r="AT85" s="245" t="s">
        <v>549</v>
      </c>
      <c r="AU85" s="245">
        <v>101855</v>
      </c>
      <c r="AV85" s="245" t="s">
        <v>550</v>
      </c>
      <c r="AW85" s="245">
        <v>52018</v>
      </c>
      <c r="AX85" s="245" t="s">
        <v>379</v>
      </c>
      <c r="AY85" s="245" t="s">
        <v>551</v>
      </c>
      <c r="AZ85" s="245" t="s">
        <v>552</v>
      </c>
      <c r="BA85" s="245" t="s">
        <v>553</v>
      </c>
      <c r="BB85" s="246"/>
    </row>
    <row r="86" spans="44:54" hidden="1">
      <c r="AR86" s="244" t="s">
        <v>554</v>
      </c>
      <c r="AS86" s="245" t="s">
        <v>548</v>
      </c>
      <c r="AT86" s="245" t="s">
        <v>555</v>
      </c>
      <c r="AU86" s="245">
        <v>100103</v>
      </c>
      <c r="AV86" s="245" t="s">
        <v>556</v>
      </c>
      <c r="AW86" s="245">
        <v>33501</v>
      </c>
      <c r="AX86" s="245" t="s">
        <v>379</v>
      </c>
      <c r="AY86" s="245" t="s">
        <v>557</v>
      </c>
      <c r="AZ86" s="245" t="s">
        <v>558</v>
      </c>
      <c r="BA86" s="245" t="s">
        <v>559</v>
      </c>
      <c r="BB86" s="246"/>
    </row>
    <row r="87" spans="44:54" hidden="1">
      <c r="AR87" s="244" t="s">
        <v>560</v>
      </c>
      <c r="AS87" s="245" t="s">
        <v>548</v>
      </c>
      <c r="AT87" s="245" t="s">
        <v>561</v>
      </c>
      <c r="AU87" s="245">
        <v>104344</v>
      </c>
      <c r="AV87" s="245" t="s">
        <v>562</v>
      </c>
      <c r="AW87" s="245">
        <v>44043</v>
      </c>
      <c r="AX87" s="245" t="s">
        <v>379</v>
      </c>
      <c r="AY87" s="245" t="s">
        <v>563</v>
      </c>
      <c r="AZ87" s="245" t="s">
        <v>564</v>
      </c>
      <c r="BA87" s="245" t="s">
        <v>565</v>
      </c>
      <c r="BB87" s="246"/>
    </row>
    <row r="88" spans="44:54" hidden="1">
      <c r="AR88" s="244" t="s">
        <v>566</v>
      </c>
      <c r="AS88" s="245" t="s">
        <v>548</v>
      </c>
      <c r="AT88" s="245" t="s">
        <v>567</v>
      </c>
      <c r="AU88" s="245">
        <v>100627</v>
      </c>
      <c r="AV88" s="245" t="s">
        <v>568</v>
      </c>
      <c r="AW88" s="245">
        <v>47006</v>
      </c>
      <c r="AX88" s="245" t="s">
        <v>379</v>
      </c>
      <c r="AY88" s="245" t="s">
        <v>569</v>
      </c>
      <c r="AZ88" s="245" t="s">
        <v>570</v>
      </c>
      <c r="BA88" s="245" t="s">
        <v>571</v>
      </c>
      <c r="BB88" s="246"/>
    </row>
    <row r="89" spans="44:54" hidden="1">
      <c r="AR89" s="244" t="s">
        <v>572</v>
      </c>
      <c r="AS89" s="245" t="s">
        <v>548</v>
      </c>
      <c r="AT89" s="245" t="s">
        <v>573</v>
      </c>
      <c r="AU89" s="245">
        <v>102764</v>
      </c>
      <c r="AV89" s="245" t="s">
        <v>354</v>
      </c>
      <c r="AW89" s="245">
        <v>40018</v>
      </c>
      <c r="AX89" s="245" t="s">
        <v>379</v>
      </c>
      <c r="AY89" s="245" t="s">
        <v>574</v>
      </c>
      <c r="AZ89" s="245" t="s">
        <v>575</v>
      </c>
      <c r="BA89" s="245" t="s">
        <v>576</v>
      </c>
      <c r="BB89" s="246"/>
    </row>
    <row r="90" spans="44:54" hidden="1">
      <c r="AR90" s="244" t="s">
        <v>577</v>
      </c>
      <c r="AS90" s="245" t="s">
        <v>548</v>
      </c>
      <c r="AT90" s="245" t="s">
        <v>578</v>
      </c>
      <c r="AU90" s="245">
        <v>450520</v>
      </c>
      <c r="AV90" s="245" t="s">
        <v>579</v>
      </c>
      <c r="AW90" s="245">
        <v>50880</v>
      </c>
      <c r="AX90" s="245" t="s">
        <v>379</v>
      </c>
      <c r="AY90" s="245" t="s">
        <v>580</v>
      </c>
      <c r="AZ90" s="245" t="s">
        <v>581</v>
      </c>
      <c r="BA90" s="245" t="s">
        <v>582</v>
      </c>
      <c r="BB90" s="246"/>
    </row>
    <row r="91" spans="44:54" hidden="1">
      <c r="AR91" s="244" t="s">
        <v>583</v>
      </c>
      <c r="AS91" s="245" t="s">
        <v>548</v>
      </c>
      <c r="AT91" s="245" t="s">
        <v>584</v>
      </c>
      <c r="AU91" s="245">
        <v>500253</v>
      </c>
      <c r="AV91" s="245" t="s">
        <v>585</v>
      </c>
      <c r="AW91" s="245">
        <v>47870</v>
      </c>
      <c r="AX91" s="245" t="s">
        <v>379</v>
      </c>
      <c r="AY91" s="245" t="s">
        <v>586</v>
      </c>
      <c r="AZ91" s="245" t="s">
        <v>587</v>
      </c>
      <c r="BA91" s="245" t="s">
        <v>588</v>
      </c>
      <c r="BB91" s="246"/>
    </row>
    <row r="92" spans="44:54" hidden="1">
      <c r="AR92" s="244" t="s">
        <v>589</v>
      </c>
      <c r="AS92" s="245" t="s">
        <v>548</v>
      </c>
      <c r="AT92" s="245" t="s">
        <v>590</v>
      </c>
      <c r="AU92" s="245">
        <v>3629</v>
      </c>
      <c r="AV92" s="245" t="s">
        <v>591</v>
      </c>
      <c r="AW92" s="245">
        <v>48020</v>
      </c>
      <c r="AX92" s="245" t="s">
        <v>379</v>
      </c>
      <c r="AY92" s="245" t="s">
        <v>592</v>
      </c>
      <c r="AZ92" s="245" t="s">
        <v>593</v>
      </c>
      <c r="BA92" s="245" t="s">
        <v>594</v>
      </c>
      <c r="BB92" s="246"/>
    </row>
    <row r="93" spans="44:54" hidden="1">
      <c r="AR93" s="244" t="s">
        <v>595</v>
      </c>
      <c r="AS93" s="245" t="s">
        <v>596</v>
      </c>
      <c r="AT93" s="245" t="s">
        <v>597</v>
      </c>
      <c r="AU93" s="245">
        <v>100452</v>
      </c>
      <c r="AV93" s="245" t="s">
        <v>598</v>
      </c>
      <c r="AW93" s="245">
        <v>56034</v>
      </c>
      <c r="AX93" s="245" t="s">
        <v>379</v>
      </c>
      <c r="AY93" s="245" t="s">
        <v>599</v>
      </c>
      <c r="AZ93" s="245" t="s">
        <v>600</v>
      </c>
      <c r="BA93" s="245" t="s">
        <v>601</v>
      </c>
      <c r="BB93" s="246"/>
    </row>
    <row r="94" spans="44:54" hidden="1">
      <c r="AR94" s="244" t="s">
        <v>602</v>
      </c>
      <c r="AS94" s="245" t="s">
        <v>454</v>
      </c>
      <c r="AT94" s="245" t="s">
        <v>603</v>
      </c>
      <c r="AU94" s="245">
        <v>102245</v>
      </c>
      <c r="AV94" s="245" t="s">
        <v>604</v>
      </c>
      <c r="AW94" s="245">
        <v>66022</v>
      </c>
      <c r="AX94" s="245" t="s">
        <v>379</v>
      </c>
      <c r="AY94" s="245" t="s">
        <v>605</v>
      </c>
      <c r="AZ94" s="245" t="s">
        <v>606</v>
      </c>
      <c r="BA94" s="245" t="s">
        <v>607</v>
      </c>
      <c r="BB94" s="246"/>
    </row>
    <row r="95" spans="44:54" hidden="1">
      <c r="AR95" s="244" t="s">
        <v>608</v>
      </c>
      <c r="AS95" s="245" t="s">
        <v>460</v>
      </c>
      <c r="AT95" s="245" t="s">
        <v>609</v>
      </c>
      <c r="AU95" s="245">
        <v>100227</v>
      </c>
      <c r="AV95" s="245" t="s">
        <v>610</v>
      </c>
      <c r="AW95" s="245">
        <v>1072</v>
      </c>
      <c r="AX95" s="245" t="s">
        <v>379</v>
      </c>
      <c r="AY95" s="245" t="s">
        <v>611</v>
      </c>
      <c r="AZ95" s="245" t="s">
        <v>612</v>
      </c>
      <c r="BA95" s="245" t="s">
        <v>613</v>
      </c>
      <c r="BB95" s="246"/>
    </row>
    <row r="96" spans="44:54" hidden="1">
      <c r="AR96" s="244" t="s">
        <v>614</v>
      </c>
      <c r="AS96" s="245" t="s">
        <v>615</v>
      </c>
      <c r="AT96" s="245" t="s">
        <v>616</v>
      </c>
      <c r="AU96" s="245">
        <v>180229</v>
      </c>
      <c r="AV96" s="245" t="s">
        <v>617</v>
      </c>
      <c r="AW96" s="245">
        <v>39029</v>
      </c>
      <c r="AX96" s="245" t="s">
        <v>379</v>
      </c>
      <c r="AY96" s="245" t="s">
        <v>618</v>
      </c>
      <c r="AZ96" s="245" t="s">
        <v>619</v>
      </c>
      <c r="BA96" s="245" t="s">
        <v>620</v>
      </c>
      <c r="BB96" s="246"/>
    </row>
    <row r="97" spans="44:54" hidden="1">
      <c r="AR97" s="244" t="s">
        <v>621</v>
      </c>
      <c r="AS97" s="245" t="s">
        <v>622</v>
      </c>
      <c r="AT97" s="245" t="s">
        <v>623</v>
      </c>
      <c r="AU97" s="245">
        <v>1434</v>
      </c>
      <c r="AV97" s="245" t="s">
        <v>624</v>
      </c>
      <c r="AW97" s="245">
        <v>25504</v>
      </c>
      <c r="AX97" s="245" t="s">
        <v>379</v>
      </c>
      <c r="AY97" s="245" t="s">
        <v>625</v>
      </c>
      <c r="AZ97" s="245" t="s">
        <v>626</v>
      </c>
      <c r="BA97" s="245" t="s">
        <v>627</v>
      </c>
      <c r="BB97" s="246"/>
    </row>
    <row r="98" spans="44:54" hidden="1">
      <c r="AR98" s="244" t="s">
        <v>628</v>
      </c>
      <c r="AS98" s="245" t="s">
        <v>622</v>
      </c>
      <c r="AT98" s="245" t="s">
        <v>629</v>
      </c>
      <c r="AU98" s="245">
        <v>2380</v>
      </c>
      <c r="AV98" s="245" t="s">
        <v>630</v>
      </c>
      <c r="AW98" s="245">
        <v>24022</v>
      </c>
      <c r="AX98" s="245" t="s">
        <v>379</v>
      </c>
      <c r="AY98" s="245" t="s">
        <v>631</v>
      </c>
      <c r="AZ98" s="245" t="s">
        <v>632</v>
      </c>
      <c r="BA98" s="245" t="s">
        <v>633</v>
      </c>
      <c r="BB98" s="246"/>
    </row>
    <row r="99" spans="44:54" hidden="1">
      <c r="AR99" s="244" t="s">
        <v>634</v>
      </c>
      <c r="AS99" s="245" t="s">
        <v>480</v>
      </c>
      <c r="AT99" s="245" t="s">
        <v>635</v>
      </c>
      <c r="AU99" s="245">
        <v>900406</v>
      </c>
      <c r="AV99" s="245" t="s">
        <v>636</v>
      </c>
      <c r="AW99" s="245">
        <v>99107</v>
      </c>
      <c r="AX99" s="245" t="s">
        <v>379</v>
      </c>
      <c r="AY99" s="245" t="s">
        <v>637</v>
      </c>
      <c r="AZ99" s="245" t="s">
        <v>638</v>
      </c>
      <c r="BA99" s="245" t="s">
        <v>639</v>
      </c>
      <c r="BB99" s="246"/>
    </row>
    <row r="100" spans="44:54" hidden="1">
      <c r="AR100" s="244"/>
      <c r="AS100" s="245"/>
      <c r="AT100" s="245"/>
      <c r="AU100" s="245"/>
      <c r="AV100" s="245"/>
      <c r="AW100" s="245"/>
      <c r="AX100" s="245"/>
      <c r="AY100" s="245"/>
      <c r="AZ100" s="245"/>
      <c r="BA100" s="245"/>
      <c r="BB100" s="246"/>
    </row>
    <row r="101" spans="44:54" hidden="1">
      <c r="AR101" s="247" t="s">
        <v>640</v>
      </c>
      <c r="AS101" s="245"/>
      <c r="AT101" s="245"/>
      <c r="AU101" s="245"/>
      <c r="AV101" s="245"/>
      <c r="AW101" s="245"/>
      <c r="AX101" s="245"/>
      <c r="AY101" s="245"/>
      <c r="AZ101" s="245"/>
      <c r="BA101" s="245"/>
      <c r="BB101" s="246"/>
    </row>
    <row r="102" spans="44:54" hidden="1">
      <c r="AR102" s="248" t="s">
        <v>641</v>
      </c>
      <c r="AS102" s="245"/>
      <c r="AT102" s="245"/>
      <c r="AU102" s="245"/>
      <c r="AV102" s="245"/>
      <c r="AW102" s="245"/>
      <c r="AX102" s="245"/>
      <c r="AY102" s="245"/>
      <c r="AZ102" s="245"/>
      <c r="BA102" s="245"/>
      <c r="BB102" s="246"/>
    </row>
    <row r="103" spans="44:54" hidden="1">
      <c r="AR103" s="248" t="s">
        <v>642</v>
      </c>
      <c r="AS103" s="245"/>
      <c r="AT103" s="245"/>
      <c r="AU103" s="245"/>
      <c r="AV103" s="245"/>
      <c r="AW103" s="245"/>
      <c r="AX103" s="245"/>
      <c r="AY103" s="245"/>
      <c r="AZ103" s="245"/>
      <c r="BA103" s="245"/>
      <c r="BB103" s="246"/>
    </row>
    <row r="104" spans="44:54" hidden="1">
      <c r="AR104" s="248" t="s">
        <v>643</v>
      </c>
      <c r="AS104" s="245"/>
      <c r="AT104" s="245"/>
      <c r="AU104" s="245"/>
      <c r="AV104" s="245"/>
      <c r="AW104" s="245"/>
      <c r="AX104" s="245"/>
      <c r="AY104" s="245"/>
      <c r="AZ104" s="245"/>
      <c r="BA104" s="245"/>
      <c r="BB104" s="246"/>
    </row>
    <row r="105" spans="44:54" hidden="1">
      <c r="AR105" s="244" t="s">
        <v>364</v>
      </c>
      <c r="AS105" s="245"/>
      <c r="AT105" s="245"/>
      <c r="AU105" s="245"/>
      <c r="AV105" s="245"/>
      <c r="AW105" s="245"/>
      <c r="AX105" s="245"/>
      <c r="AY105" s="245"/>
      <c r="AZ105" s="245"/>
      <c r="BA105" s="245"/>
      <c r="BB105" s="251"/>
    </row>
    <row r="106" spans="44:54" hidden="1">
      <c r="AR106" s="249"/>
      <c r="AS106" s="250"/>
      <c r="AT106" s="250"/>
      <c r="AU106" s="250"/>
      <c r="AV106" s="250"/>
      <c r="AW106" s="250"/>
      <c r="AX106" s="250"/>
      <c r="AY106" s="250"/>
      <c r="AZ106" s="250"/>
      <c r="BA106" s="250"/>
    </row>
    <row r="107" spans="44:54" hidden="1"/>
  </sheetData>
  <sheetProtection sheet="1" selectLockedCells="1"/>
  <mergeCells count="15">
    <mergeCell ref="AR3:AR4"/>
    <mergeCell ref="AT3:AT4"/>
    <mergeCell ref="N63:P63"/>
    <mergeCell ref="AA19:AH19"/>
    <mergeCell ref="D32:I32"/>
    <mergeCell ref="C3:P3"/>
    <mergeCell ref="V3:AJ3"/>
    <mergeCell ref="W4:AJ4"/>
    <mergeCell ref="W5:AJ5"/>
    <mergeCell ref="C8:R8"/>
    <mergeCell ref="C11:R11"/>
    <mergeCell ref="C12:R12"/>
    <mergeCell ref="C13:R13"/>
    <mergeCell ref="C14:R14"/>
    <mergeCell ref="C15:R15"/>
  </mergeCells>
  <dataValidations count="2">
    <dataValidation type="list" allowBlank="1" showInputMessage="1" showErrorMessage="1" sqref="AO4" xr:uid="{00000000-0002-0000-0400-000000000000}">
      <formula1>INDIRECT($AM$4)</formula1>
    </dataValidation>
    <dataValidation type="list" allowBlank="1" showInputMessage="1" showErrorMessage="1" sqref="AM4" xr:uid="{00000000-0002-0000-0400-000001000000}">
      <formula1>$BB$55:$BB$71</formula1>
    </dataValidation>
  </dataValidations>
  <hyperlinks>
    <hyperlink ref="AR101" r:id="rId1" xr:uid="{00000000-0004-0000-0400-000000000000}"/>
    <hyperlink ref="AT3" location="'3_rezeptkarte'!D6" tooltip="Weiter zu Rezeptkarte" display="ð" xr:uid="{00000000-0004-0000-0400-000001000000}"/>
    <hyperlink ref="AR3" location="'1_vorbereitung'!F6" tooltip="zurück zur Vorbereitung" display="ï" xr:uid="{00000000-0004-0000-0400-000002000000}"/>
    <hyperlink ref="AS3" location="start!A1" tooltip="zur Startseite" display="ñ" xr:uid="{00000000-0004-0000-0400-000003000000}"/>
  </hyperlinks>
  <pageMargins left="0.7" right="0.7" top="0.78740157499999996" bottom="0.78740157499999996"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1"/>
  <dimension ref="A1:AZ138"/>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L2" sqref="AL2:AL3"/>
    </sheetView>
  </sheetViews>
  <sheetFormatPr baseColWidth="10" defaultColWidth="2.88671875" defaultRowHeight="15" customHeight="1" outlineLevelRow="1"/>
  <cols>
    <col min="1" max="1" width="1.109375" style="51" customWidth="1"/>
    <col min="2" max="2" width="0.6640625" style="51" customWidth="1"/>
    <col min="3" max="3" width="0.44140625" style="51" customWidth="1"/>
    <col min="4" max="4" width="3.33203125" style="51" customWidth="1"/>
    <col min="5" max="7" width="2.88671875" style="51" customWidth="1"/>
    <col min="8" max="8" width="4.6640625" style="51" customWidth="1"/>
    <col min="9" max="9" width="1.109375" style="51" customWidth="1"/>
    <col min="10" max="15" width="2.88671875" style="51" customWidth="1"/>
    <col min="16" max="16" width="3.5546875" style="51" customWidth="1"/>
    <col min="17" max="17" width="3.109375" style="51" customWidth="1"/>
    <col min="18" max="18" width="3.88671875" style="51" customWidth="1"/>
    <col min="19" max="19" width="2.88671875" style="51" customWidth="1"/>
    <col min="20" max="20" width="2.33203125" style="51" customWidth="1"/>
    <col min="21" max="21" width="2.44140625" style="51" customWidth="1"/>
    <col min="22" max="32" width="2.88671875" style="51" customWidth="1"/>
    <col min="33" max="33" width="1.6640625" style="51" customWidth="1"/>
    <col min="34" max="34" width="0.6640625" style="51" customWidth="1"/>
    <col min="35" max="35" width="2.88671875" style="51" customWidth="1"/>
    <col min="36" max="38" width="3.109375" style="51" customWidth="1"/>
    <col min="39" max="42" width="2.88671875" style="51" customWidth="1"/>
    <col min="43" max="43" width="2.44140625" style="51" customWidth="1"/>
    <col min="44" max="44" width="4.109375" style="51" hidden="1" customWidth="1"/>
    <col min="45" max="45" width="6.77734375" style="51" hidden="1" customWidth="1"/>
    <col min="46" max="52" width="4.109375" style="51" hidden="1" customWidth="1"/>
    <col min="53" max="56" width="4.109375" style="51" customWidth="1"/>
    <col min="57" max="16384" width="2.88671875" style="51"/>
  </cols>
  <sheetData>
    <row r="1" spans="2:52" ht="6" customHeight="1" thickBot="1"/>
    <row r="2" spans="2:52" ht="15" customHeight="1">
      <c r="B2" s="201"/>
      <c r="C2" s="200"/>
      <c r="D2" s="200"/>
      <c r="E2" s="200"/>
      <c r="F2" s="200"/>
      <c r="G2" s="200"/>
      <c r="H2" s="200"/>
      <c r="I2" s="200"/>
      <c r="J2" s="199"/>
      <c r="K2" s="885" t="s">
        <v>226</v>
      </c>
      <c r="L2" s="886"/>
      <c r="M2" s="886"/>
      <c r="N2" s="886"/>
      <c r="O2" s="886"/>
      <c r="P2" s="886"/>
      <c r="Q2" s="886"/>
      <c r="R2" s="886"/>
      <c r="S2" s="886"/>
      <c r="T2" s="886"/>
      <c r="U2" s="886"/>
      <c r="V2" s="886"/>
      <c r="W2" s="886"/>
      <c r="X2" s="886"/>
      <c r="Y2" s="886"/>
      <c r="Z2" s="887"/>
      <c r="AA2" s="52"/>
      <c r="AB2" s="52"/>
      <c r="AC2" s="854" t="s">
        <v>15</v>
      </c>
      <c r="AD2" s="883">
        <f>rechenfibel!AD2</f>
        <v>43590</v>
      </c>
      <c r="AE2" s="981"/>
      <c r="AF2" s="981"/>
      <c r="AG2" s="981"/>
      <c r="AH2" s="982"/>
      <c r="AJ2" s="877" t="s">
        <v>246</v>
      </c>
      <c r="AK2" s="439" t="s">
        <v>832</v>
      </c>
      <c r="AL2" s="879" t="s">
        <v>242</v>
      </c>
    </row>
    <row r="3" spans="2:52" ht="15" customHeight="1" thickBot="1">
      <c r="B3" s="53"/>
      <c r="C3" s="54"/>
      <c r="D3" s="54"/>
      <c r="E3" s="54"/>
      <c r="F3" s="216"/>
      <c r="G3" s="55"/>
      <c r="H3" s="54"/>
      <c r="I3" s="198"/>
      <c r="J3" s="197"/>
      <c r="K3" s="984"/>
      <c r="L3" s="985"/>
      <c r="M3" s="985"/>
      <c r="N3" s="985"/>
      <c r="O3" s="985"/>
      <c r="P3" s="985"/>
      <c r="Q3" s="985"/>
      <c r="R3" s="985"/>
      <c r="S3" s="985"/>
      <c r="T3" s="985"/>
      <c r="U3" s="985"/>
      <c r="V3" s="985"/>
      <c r="W3" s="985"/>
      <c r="X3" s="985"/>
      <c r="Y3" s="985"/>
      <c r="Z3" s="986"/>
      <c r="AC3" s="56" t="s">
        <v>22</v>
      </c>
      <c r="AD3" s="906">
        <f>rechenfibel!AD3</f>
        <v>43556</v>
      </c>
      <c r="AE3" s="906"/>
      <c r="AF3" s="906"/>
      <c r="AG3" s="906"/>
      <c r="AH3" s="907"/>
      <c r="AJ3" s="878"/>
      <c r="AK3" s="764" t="s">
        <v>1241</v>
      </c>
      <c r="AL3" s="880"/>
    </row>
    <row r="4" spans="2:52" ht="3.75" customHeight="1" thickBot="1">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row>
    <row r="5" spans="2:52" ht="2.25" customHeight="1">
      <c r="B5" s="60"/>
      <c r="AH5" s="62"/>
    </row>
    <row r="6" spans="2:52" ht="14.25" customHeight="1">
      <c r="B6" s="60"/>
      <c r="C6" s="991"/>
      <c r="D6" s="991"/>
      <c r="E6" s="991"/>
      <c r="F6" s="991"/>
      <c r="G6" s="991"/>
      <c r="H6" s="991"/>
      <c r="I6" s="991"/>
      <c r="J6" s="991"/>
      <c r="K6" s="991"/>
      <c r="L6" s="2"/>
      <c r="M6" s="2"/>
      <c r="N6" s="3" t="s">
        <v>70</v>
      </c>
      <c r="O6" s="983" t="str">
        <f>IF(ISBLANK('1_vorbereitung'!F6),"",'1_vorbereitung'!F6)</f>
        <v/>
      </c>
      <c r="P6" s="983"/>
      <c r="Q6" s="983"/>
      <c r="R6" s="983"/>
      <c r="S6" s="2"/>
      <c r="T6" s="2"/>
      <c r="U6" s="3" t="s">
        <v>0</v>
      </c>
      <c r="V6" s="989" t="str">
        <f>IF(ISBLANK('1_vorbereitung'!M6),"",'1_vorbereitung'!M6)</f>
        <v/>
      </c>
      <c r="W6" s="989"/>
      <c r="X6" s="989"/>
      <c r="AA6" s="56" t="s">
        <v>228</v>
      </c>
      <c r="AB6" s="874" t="s">
        <v>229</v>
      </c>
      <c r="AC6" s="874"/>
      <c r="AD6" s="874"/>
      <c r="AE6" s="874"/>
      <c r="AF6" s="874"/>
      <c r="AG6" s="874"/>
      <c r="AH6" s="62"/>
      <c r="AR6" s="406"/>
      <c r="AS6" s="329"/>
      <c r="AT6" s="329"/>
      <c r="AU6" s="329"/>
      <c r="AV6" s="329"/>
      <c r="AW6" s="329"/>
      <c r="AX6" s="329"/>
      <c r="AY6" s="329"/>
      <c r="AZ6" s="544"/>
    </row>
    <row r="7" spans="2:52" ht="2.25" customHeight="1">
      <c r="B7" s="60"/>
      <c r="AH7" s="62"/>
      <c r="AR7" s="407"/>
      <c r="AS7" s="539"/>
      <c r="AT7" s="539"/>
      <c r="AU7" s="539"/>
      <c r="AV7" s="539"/>
      <c r="AW7" s="539"/>
      <c r="AX7" s="539"/>
      <c r="AY7" s="539"/>
      <c r="AZ7" s="408"/>
    </row>
    <row r="8" spans="2:52" ht="14.25" customHeight="1">
      <c r="B8" s="60"/>
      <c r="D8" s="56"/>
      <c r="F8" s="56"/>
      <c r="G8" s="56" t="s">
        <v>101</v>
      </c>
      <c r="H8" s="949"/>
      <c r="I8" s="949"/>
      <c r="J8" s="398" t="s">
        <v>39</v>
      </c>
      <c r="M8" s="56" t="s">
        <v>238</v>
      </c>
      <c r="N8" s="870" t="str">
        <f>IF(ISBLANK('5_gaerdiagramm'!F38),"",'5_gaerdiagramm'!F38)</f>
        <v/>
      </c>
      <c r="O8" s="870"/>
      <c r="P8" s="398" t="s">
        <v>5</v>
      </c>
      <c r="Q8" s="163"/>
      <c r="S8" s="56" t="s">
        <v>164</v>
      </c>
      <c r="T8" s="951" t="str">
        <f>AD70</f>
        <v/>
      </c>
      <c r="U8" s="951"/>
      <c r="V8" s="51" t="s">
        <v>29</v>
      </c>
      <c r="Z8" s="163" t="s">
        <v>162</v>
      </c>
      <c r="AA8" s="951" t="str">
        <f>IF(ISERROR(((Q19*M19)+(Q20*M20)+(Q21*M21)+(Q22*M22)+(Q23*M23)+(Q24*M24))/(Q18)*H8/10+2),"",((Q19*M19)+(Q20*M20)+(Q21*M21)+(Q22*M22)+(Q23*M23)+(Q24*M24))/(Q18)*H8/10+2)</f>
        <v/>
      </c>
      <c r="AB8" s="951"/>
      <c r="AC8" s="421" t="s">
        <v>50</v>
      </c>
      <c r="AE8" s="224"/>
      <c r="AF8" s="224"/>
      <c r="AG8" s="224"/>
      <c r="AH8" s="62"/>
      <c r="AR8" s="407"/>
      <c r="AS8" s="539"/>
      <c r="AT8" s="539"/>
      <c r="AU8" s="539"/>
      <c r="AV8" s="539"/>
      <c r="AW8" s="539"/>
      <c r="AX8" s="539"/>
      <c r="AY8" s="539"/>
      <c r="AZ8" s="408"/>
    </row>
    <row r="9" spans="2:52" ht="2.25" customHeight="1">
      <c r="B9" s="60"/>
      <c r="AE9" s="224"/>
      <c r="AF9" s="224"/>
      <c r="AG9" s="224"/>
      <c r="AH9" s="62"/>
      <c r="AR9" s="407"/>
      <c r="AS9" s="539"/>
      <c r="AT9" s="539"/>
      <c r="AU9" s="539"/>
      <c r="AV9" s="539"/>
      <c r="AW9" s="539"/>
      <c r="AX9" s="539"/>
      <c r="AY9" s="539"/>
      <c r="AZ9" s="408"/>
    </row>
    <row r="10" spans="2:52" s="77" customFormat="1" ht="2.25" customHeight="1">
      <c r="B10" s="71"/>
      <c r="C10" s="617"/>
      <c r="D10" s="618"/>
      <c r="E10" s="618"/>
      <c r="F10" s="619"/>
      <c r="G10" s="618"/>
      <c r="H10" s="620"/>
      <c r="I10" s="617"/>
      <c r="J10" s="618"/>
      <c r="K10" s="618"/>
      <c r="L10" s="618"/>
      <c r="M10" s="618"/>
      <c r="N10" s="618"/>
      <c r="O10" s="618"/>
      <c r="P10" s="618"/>
      <c r="Q10" s="618"/>
      <c r="R10" s="618"/>
      <c r="S10" s="618"/>
      <c r="T10" s="618"/>
      <c r="U10" s="618"/>
      <c r="V10" s="618"/>
      <c r="W10" s="618"/>
      <c r="X10" s="618"/>
      <c r="Y10" s="618"/>
      <c r="Z10" s="618"/>
      <c r="AA10" s="618"/>
      <c r="AB10" s="618"/>
      <c r="AC10" s="618"/>
      <c r="AD10" s="620"/>
      <c r="AE10" s="224"/>
      <c r="AF10" s="224"/>
      <c r="AG10" s="224"/>
      <c r="AH10" s="76"/>
      <c r="AR10" s="407"/>
      <c r="AS10" s="539"/>
      <c r="AT10" s="539"/>
      <c r="AU10" s="539"/>
      <c r="AV10" s="539"/>
      <c r="AW10" s="539"/>
      <c r="AX10" s="539"/>
      <c r="AY10" s="539"/>
      <c r="AZ10" s="408"/>
    </row>
    <row r="11" spans="2:52" s="77" customFormat="1" ht="14.25" customHeight="1">
      <c r="B11" s="71"/>
      <c r="C11" s="621"/>
      <c r="D11" s="527" t="s">
        <v>21</v>
      </c>
      <c r="E11" s="632" t="s">
        <v>269</v>
      </c>
      <c r="F11" s="625"/>
      <c r="G11" s="625"/>
      <c r="H11" s="626"/>
      <c r="I11" s="627"/>
      <c r="J11" s="624"/>
      <c r="K11" s="624"/>
      <c r="L11" s="624"/>
      <c r="M11" s="624"/>
      <c r="N11" s="624"/>
      <c r="O11" s="631" t="s">
        <v>16</v>
      </c>
      <c r="P11" s="949"/>
      <c r="Q11" s="949"/>
      <c r="R11" s="624" t="s">
        <v>875</v>
      </c>
      <c r="S11" s="624"/>
      <c r="T11" s="631"/>
      <c r="U11" s="631"/>
      <c r="V11" s="631"/>
      <c r="W11" s="631" t="s">
        <v>18</v>
      </c>
      <c r="X11" s="949"/>
      <c r="Y11" s="949"/>
      <c r="Z11" s="624" t="s">
        <v>5</v>
      </c>
      <c r="AA11" s="631"/>
      <c r="AB11" s="631"/>
      <c r="AC11" s="631"/>
      <c r="AD11" s="529" t="s">
        <v>21</v>
      </c>
      <c r="AE11" s="224"/>
      <c r="AF11" s="224"/>
      <c r="AG11" s="224"/>
      <c r="AH11" s="76"/>
      <c r="AR11" s="543">
        <f>IF(ISERROR(((4.13*H8)+997)/1000),"", ((4.13*H8)+997)/1000)</f>
        <v>0.997</v>
      </c>
      <c r="AS11" s="539" t="s">
        <v>17</v>
      </c>
      <c r="AT11" s="539"/>
      <c r="AU11" s="539"/>
      <c r="AV11" s="539"/>
      <c r="AW11" s="539"/>
      <c r="AX11" s="539"/>
      <c r="AY11" s="539"/>
      <c r="AZ11" s="408"/>
    </row>
    <row r="12" spans="2:52" s="77" customFormat="1" ht="2.25" customHeight="1">
      <c r="B12" s="71"/>
      <c r="C12" s="622"/>
      <c r="D12" s="624"/>
      <c r="E12" s="625"/>
      <c r="F12" s="625"/>
      <c r="G12" s="625"/>
      <c r="H12" s="626"/>
      <c r="I12" s="627"/>
      <c r="J12" s="625"/>
      <c r="K12" s="624"/>
      <c r="L12" s="624"/>
      <c r="M12" s="624"/>
      <c r="N12" s="624"/>
      <c r="O12" s="624"/>
      <c r="P12" s="624"/>
      <c r="Q12" s="624"/>
      <c r="R12" s="624"/>
      <c r="S12" s="624"/>
      <c r="T12" s="624"/>
      <c r="U12" s="624"/>
      <c r="V12" s="624"/>
      <c r="W12" s="624"/>
      <c r="X12" s="624"/>
      <c r="Y12" s="624"/>
      <c r="Z12" s="624"/>
      <c r="AA12" s="624"/>
      <c r="AB12" s="624"/>
      <c r="AC12" s="624"/>
      <c r="AD12" s="628"/>
      <c r="AE12" s="224"/>
      <c r="AF12" s="224"/>
      <c r="AG12" s="224"/>
      <c r="AH12" s="76"/>
      <c r="AR12" s="407"/>
      <c r="AS12" s="539"/>
      <c r="AT12" s="539"/>
      <c r="AU12" s="539"/>
      <c r="AV12" s="539"/>
      <c r="AW12" s="539"/>
      <c r="AX12" s="539"/>
      <c r="AY12" s="539"/>
      <c r="AZ12" s="408"/>
    </row>
    <row r="13" spans="2:52" s="77" customFormat="1" ht="14.25" customHeight="1">
      <c r="B13" s="71"/>
      <c r="C13" s="622" t="s">
        <v>271</v>
      </c>
      <c r="D13" s="624"/>
      <c r="E13" s="625"/>
      <c r="F13" s="625"/>
      <c r="G13" s="625"/>
      <c r="H13" s="626"/>
      <c r="I13" s="627"/>
      <c r="J13" s="625"/>
      <c r="K13" s="631"/>
      <c r="L13" s="631" t="s">
        <v>19</v>
      </c>
      <c r="M13" s="954" t="str">
        <f>IF(ISERROR(IF(P11&lt;&gt;0,(P11*H8*AR11)/X11,"")),"", IF(P11&lt;&gt;0,(P11*H8*AR11)/X11,""))</f>
        <v/>
      </c>
      <c r="N13" s="954"/>
      <c r="O13" s="624" t="s">
        <v>876</v>
      </c>
      <c r="P13" s="628"/>
      <c r="Q13" s="628"/>
      <c r="R13" s="527" t="s">
        <v>21</v>
      </c>
      <c r="S13" s="624"/>
      <c r="T13" s="624"/>
      <c r="U13" s="624"/>
      <c r="V13" s="624"/>
      <c r="W13" s="631" t="s">
        <v>270</v>
      </c>
      <c r="X13" s="990"/>
      <c r="Y13" s="990"/>
      <c r="Z13" s="624" t="s">
        <v>5</v>
      </c>
      <c r="AA13" s="633" t="s">
        <v>242</v>
      </c>
      <c r="AB13" s="951" t="str">
        <f>IF(ISERROR(X13*M13*10),"",(X13*M13*10))</f>
        <v/>
      </c>
      <c r="AC13" s="951"/>
      <c r="AD13" s="634" t="s">
        <v>877</v>
      </c>
      <c r="AE13" s="224"/>
      <c r="AF13" s="224"/>
      <c r="AG13" s="224"/>
      <c r="AH13" s="76"/>
      <c r="AR13" s="407"/>
      <c r="AS13" s="539"/>
      <c r="AT13" s="539"/>
      <c r="AU13" s="539"/>
      <c r="AV13" s="539"/>
      <c r="AW13" s="539"/>
      <c r="AX13" s="539"/>
      <c r="AY13" s="539"/>
      <c r="AZ13" s="408"/>
    </row>
    <row r="14" spans="2:52" s="77" customFormat="1" ht="2.25" customHeight="1">
      <c r="B14" s="71"/>
      <c r="C14" s="623"/>
      <c r="D14" s="629"/>
      <c r="E14" s="629"/>
      <c r="F14" s="629"/>
      <c r="G14" s="629"/>
      <c r="H14" s="630"/>
      <c r="I14" s="623"/>
      <c r="J14" s="629"/>
      <c r="K14" s="629"/>
      <c r="L14" s="629"/>
      <c r="M14" s="629"/>
      <c r="N14" s="629"/>
      <c r="O14" s="629"/>
      <c r="P14" s="630"/>
      <c r="Q14" s="629"/>
      <c r="R14" s="629"/>
      <c r="S14" s="629"/>
      <c r="T14" s="629"/>
      <c r="U14" s="629"/>
      <c r="V14" s="629"/>
      <c r="W14" s="629"/>
      <c r="X14" s="629"/>
      <c r="Y14" s="629"/>
      <c r="Z14" s="629"/>
      <c r="AA14" s="629"/>
      <c r="AB14" s="629"/>
      <c r="AC14" s="629"/>
      <c r="AD14" s="630"/>
      <c r="AE14" s="224"/>
      <c r="AF14" s="224"/>
      <c r="AG14" s="224"/>
      <c r="AH14" s="76"/>
      <c r="AR14" s="407"/>
      <c r="AS14" s="539"/>
      <c r="AT14" s="539"/>
      <c r="AU14" s="539"/>
      <c r="AV14" s="539"/>
      <c r="AW14" s="539"/>
      <c r="AX14" s="539"/>
      <c r="AY14" s="539"/>
      <c r="AZ14" s="408"/>
    </row>
    <row r="15" spans="2:52" s="77" customFormat="1" ht="2.25" customHeight="1">
      <c r="B15" s="71"/>
      <c r="AH15" s="76"/>
      <c r="AR15" s="407"/>
      <c r="AS15" s="539"/>
      <c r="AT15" s="539"/>
      <c r="AU15" s="539"/>
      <c r="AV15" s="539"/>
      <c r="AW15" s="539"/>
      <c r="AX15" s="539"/>
      <c r="AY15" s="539"/>
      <c r="AZ15" s="408"/>
    </row>
    <row r="16" spans="2:52" s="77" customFormat="1" ht="2.25" customHeight="1">
      <c r="B16" s="92"/>
      <c r="C16" s="196"/>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4"/>
      <c r="AH16" s="76"/>
      <c r="AR16" s="407"/>
      <c r="AS16" s="539"/>
      <c r="AT16" s="539"/>
      <c r="AU16" s="539"/>
      <c r="AV16" s="539"/>
      <c r="AW16" s="539"/>
      <c r="AX16" s="539"/>
      <c r="AY16" s="539"/>
      <c r="AZ16" s="408"/>
    </row>
    <row r="17" spans="1:52" ht="14.25" customHeight="1">
      <c r="B17" s="60"/>
      <c r="C17" s="175"/>
      <c r="D17" s="174"/>
      <c r="M17" s="988"/>
      <c r="N17" s="988"/>
      <c r="O17" s="988"/>
      <c r="P17" s="988"/>
      <c r="Q17" s="988"/>
      <c r="R17" s="988"/>
      <c r="S17" s="988"/>
      <c r="U17" s="214" t="s">
        <v>51</v>
      </c>
      <c r="V17" s="166"/>
      <c r="W17" s="56"/>
      <c r="X17" s="193"/>
      <c r="Y17" s="193"/>
      <c r="AA17" s="193"/>
      <c r="AB17" s="193"/>
      <c r="AC17" s="193"/>
      <c r="AD17" s="193"/>
      <c r="AE17" s="193"/>
      <c r="AF17" s="193"/>
      <c r="AG17" s="192"/>
      <c r="AH17" s="93"/>
      <c r="AI17" s="94"/>
      <c r="AJ17" s="94"/>
      <c r="AK17" s="51" t="s">
        <v>53</v>
      </c>
      <c r="AR17" s="407"/>
      <c r="AS17" s="539"/>
      <c r="AT17" s="539"/>
      <c r="AU17" s="539"/>
      <c r="AV17" s="539"/>
      <c r="AW17" s="539"/>
      <c r="AX17" s="539"/>
      <c r="AY17" s="539"/>
      <c r="AZ17" s="408"/>
    </row>
    <row r="18" spans="1:52" ht="14.25" customHeight="1" thickBot="1">
      <c r="B18" s="60"/>
      <c r="C18" s="175"/>
      <c r="D18" s="953" t="s">
        <v>19</v>
      </c>
      <c r="E18" s="953"/>
      <c r="F18" s="953"/>
      <c r="G18" s="953"/>
      <c r="H18" s="953"/>
      <c r="I18" s="953"/>
      <c r="J18" s="953"/>
      <c r="K18" s="953"/>
      <c r="L18" s="953"/>
      <c r="M18" s="987" t="str">
        <f>IF(ISERROR(((Q19*M19)+(Q20*M20)+(Q21*M21)+(Q22*M22)+(Q23*M23)+(Q24*M24))/(Q18)*X11/10+2),"",((Q19*M19)+(Q20*M20)+(Q21*M21)+(Q22*M22)+(Q23*M23)+(Q24*M24))/(Q18)*H8/10+2)</f>
        <v/>
      </c>
      <c r="N18" s="987"/>
      <c r="O18" s="992">
        <f>SUM(O19:P24)</f>
        <v>0</v>
      </c>
      <c r="P18" s="992"/>
      <c r="Q18" s="993">
        <f>IF(ISERROR(SUM(Q19:S24)),"",SUM(Q19:S24))</f>
        <v>0</v>
      </c>
      <c r="R18" s="993"/>
      <c r="S18" s="993"/>
      <c r="T18" s="191"/>
      <c r="U18" s="961"/>
      <c r="V18" s="962"/>
      <c r="W18" s="962"/>
      <c r="X18" s="962"/>
      <c r="Y18" s="962"/>
      <c r="Z18" s="962"/>
      <c r="AA18" s="962"/>
      <c r="AB18" s="962"/>
      <c r="AC18" s="962"/>
      <c r="AD18" s="962"/>
      <c r="AE18" s="962"/>
      <c r="AF18" s="963"/>
      <c r="AG18" s="190"/>
      <c r="AH18" s="93"/>
      <c r="AI18" s="94"/>
      <c r="AJ18" s="94"/>
      <c r="AR18" s="407"/>
      <c r="AS18" s="539"/>
      <c r="AT18" s="539"/>
      <c r="AU18" s="539"/>
      <c r="AV18" s="539"/>
      <c r="AW18" s="539"/>
      <c r="AX18" s="539"/>
      <c r="AY18" s="539"/>
      <c r="AZ18" s="408"/>
    </row>
    <row r="19" spans="1:52" ht="14.25" customHeight="1">
      <c r="B19" s="60"/>
      <c r="C19" s="175"/>
      <c r="D19" s="874" t="s">
        <v>61</v>
      </c>
      <c r="E19" s="874"/>
      <c r="F19" s="874"/>
      <c r="G19" s="874"/>
      <c r="H19" s="874"/>
      <c r="I19" s="874"/>
      <c r="J19" s="874"/>
      <c r="K19" s="874"/>
      <c r="L19" s="874"/>
      <c r="M19" s="873" t="str">
        <f>IF(ISERROR(VLOOKUP(D19,daten!$D$3:$E$59,2,FALSE)),"0",VLOOKUP(D19,daten!$D$3:$E$59,2,FALSE))</f>
        <v>0</v>
      </c>
      <c r="N19" s="873"/>
      <c r="O19" s="1204"/>
      <c r="P19" s="1204"/>
      <c r="Q19" s="1205" t="str">
        <f>IF(ISERROR($M$13*O19),"", $M$13*O19)</f>
        <v/>
      </c>
      <c r="R19" s="1205"/>
      <c r="S19" s="1205"/>
      <c r="U19" s="964"/>
      <c r="V19" s="965"/>
      <c r="W19" s="965"/>
      <c r="X19" s="965"/>
      <c r="Y19" s="965"/>
      <c r="Z19" s="965"/>
      <c r="AA19" s="965"/>
      <c r="AB19" s="965"/>
      <c r="AC19" s="965"/>
      <c r="AD19" s="965"/>
      <c r="AE19" s="965"/>
      <c r="AF19" s="966"/>
      <c r="AG19" s="190"/>
      <c r="AH19" s="95"/>
      <c r="AI19" s="94"/>
      <c r="AR19" s="407" t="str">
        <f t="shared" ref="AR19:AR24" si="0">D19</f>
        <v>&lt;Malzsorte wählen&gt;</v>
      </c>
      <c r="AS19" s="540" t="str">
        <f t="shared" ref="AS19:AS24" si="1">Q19</f>
        <v/>
      </c>
      <c r="AT19" s="539"/>
      <c r="AU19" s="539" t="str">
        <f t="shared" ref="AU19:AU24" si="2">IF(O19="","",CONCATENATE(D19,", "))</f>
        <v/>
      </c>
      <c r="AV19" s="539"/>
      <c r="AW19" s="539"/>
      <c r="AX19" s="539"/>
      <c r="AY19" s="539"/>
      <c r="AZ19" s="408"/>
    </row>
    <row r="20" spans="1:52" ht="14.25" customHeight="1">
      <c r="B20" s="60"/>
      <c r="C20" s="175"/>
      <c r="D20" s="874" t="s">
        <v>61</v>
      </c>
      <c r="E20" s="874"/>
      <c r="F20" s="874"/>
      <c r="G20" s="874"/>
      <c r="H20" s="874"/>
      <c r="I20" s="874"/>
      <c r="J20" s="874"/>
      <c r="K20" s="874"/>
      <c r="L20" s="874"/>
      <c r="M20" s="873" t="str">
        <f>IF(ISERROR(VLOOKUP(D20,daten!$D$3:$E$59,2,FALSE)),"0",VLOOKUP(D20,daten!$D$3:$E$59,2,FALSE))</f>
        <v>0</v>
      </c>
      <c r="N20" s="873"/>
      <c r="O20" s="1204"/>
      <c r="P20" s="1204"/>
      <c r="Q20" s="1205" t="str">
        <f t="shared" ref="Q20:Q24" si="3">IF(ISERROR($M$13*O20),"", $M$13*O20)</f>
        <v/>
      </c>
      <c r="R20" s="1205"/>
      <c r="S20" s="1205"/>
      <c r="U20" s="964"/>
      <c r="V20" s="965"/>
      <c r="W20" s="965"/>
      <c r="X20" s="965"/>
      <c r="Y20" s="965"/>
      <c r="Z20" s="965"/>
      <c r="AA20" s="965"/>
      <c r="AB20" s="965"/>
      <c r="AC20" s="965"/>
      <c r="AD20" s="965"/>
      <c r="AE20" s="965"/>
      <c r="AF20" s="966"/>
      <c r="AG20" s="190"/>
      <c r="AH20" s="96"/>
      <c r="AI20" s="94"/>
      <c r="AR20" s="407" t="str">
        <f t="shared" si="0"/>
        <v>&lt;Malzsorte wählen&gt;</v>
      </c>
      <c r="AS20" s="540" t="str">
        <f t="shared" si="1"/>
        <v/>
      </c>
      <c r="AT20" s="539"/>
      <c r="AU20" s="539" t="str">
        <f t="shared" si="2"/>
        <v/>
      </c>
      <c r="AV20" s="539"/>
      <c r="AW20" s="539"/>
      <c r="AX20" s="539"/>
      <c r="AY20" s="539"/>
      <c r="AZ20" s="408"/>
    </row>
    <row r="21" spans="1:52" ht="14.25" customHeight="1">
      <c r="B21" s="60"/>
      <c r="C21" s="175"/>
      <c r="D21" s="874" t="s">
        <v>61</v>
      </c>
      <c r="E21" s="874"/>
      <c r="F21" s="874"/>
      <c r="G21" s="874"/>
      <c r="H21" s="874"/>
      <c r="I21" s="874"/>
      <c r="J21" s="874"/>
      <c r="K21" s="874"/>
      <c r="L21" s="874"/>
      <c r="M21" s="873" t="str">
        <f>IF(ISERROR(VLOOKUP(D21,daten!$D$3:$E$59,2,FALSE)),"0",VLOOKUP(D21,daten!$D$3:$E$59,2,FALSE))</f>
        <v>0</v>
      </c>
      <c r="N21" s="873"/>
      <c r="O21" s="1204"/>
      <c r="P21" s="1204"/>
      <c r="Q21" s="1205" t="str">
        <f t="shared" si="3"/>
        <v/>
      </c>
      <c r="R21" s="1205"/>
      <c r="S21" s="1205"/>
      <c r="U21" s="964"/>
      <c r="V21" s="965"/>
      <c r="W21" s="965"/>
      <c r="X21" s="965"/>
      <c r="Y21" s="965"/>
      <c r="Z21" s="965"/>
      <c r="AA21" s="965"/>
      <c r="AB21" s="965"/>
      <c r="AC21" s="965"/>
      <c r="AD21" s="965"/>
      <c r="AE21" s="965"/>
      <c r="AF21" s="966"/>
      <c r="AG21" s="190"/>
      <c r="AH21" s="96"/>
      <c r="AI21" s="94"/>
      <c r="AR21" s="407" t="str">
        <f t="shared" si="0"/>
        <v>&lt;Malzsorte wählen&gt;</v>
      </c>
      <c r="AS21" s="540" t="str">
        <f t="shared" si="1"/>
        <v/>
      </c>
      <c r="AT21" s="539"/>
      <c r="AU21" s="539" t="str">
        <f t="shared" si="2"/>
        <v/>
      </c>
      <c r="AV21" s="539"/>
      <c r="AW21" s="539"/>
      <c r="AX21" s="539"/>
      <c r="AY21" s="539"/>
      <c r="AZ21" s="408"/>
    </row>
    <row r="22" spans="1:52" ht="14.25" customHeight="1">
      <c r="B22" s="60"/>
      <c r="C22" s="175"/>
      <c r="D22" s="874" t="s">
        <v>61</v>
      </c>
      <c r="E22" s="874"/>
      <c r="F22" s="874"/>
      <c r="G22" s="874"/>
      <c r="H22" s="874"/>
      <c r="I22" s="874"/>
      <c r="J22" s="874"/>
      <c r="K22" s="874"/>
      <c r="L22" s="874"/>
      <c r="M22" s="873" t="str">
        <f>IF(ISERROR(VLOOKUP(D22,daten!$D$3:$E$59,2,FALSE)),"0",VLOOKUP(D22,daten!$D$3:$E$59,2,FALSE))</f>
        <v>0</v>
      </c>
      <c r="N22" s="873"/>
      <c r="O22" s="1204"/>
      <c r="P22" s="1204"/>
      <c r="Q22" s="1205" t="str">
        <f t="shared" si="3"/>
        <v/>
      </c>
      <c r="R22" s="1205"/>
      <c r="S22" s="1205"/>
      <c r="U22" s="964"/>
      <c r="V22" s="965"/>
      <c r="W22" s="965"/>
      <c r="X22" s="965"/>
      <c r="Y22" s="965"/>
      <c r="Z22" s="965"/>
      <c r="AA22" s="965"/>
      <c r="AB22" s="965"/>
      <c r="AC22" s="965"/>
      <c r="AD22" s="965"/>
      <c r="AE22" s="965"/>
      <c r="AF22" s="966"/>
      <c r="AG22" s="188"/>
      <c r="AH22" s="96"/>
      <c r="AI22" s="94"/>
      <c r="AK22" s="189"/>
      <c r="AR22" s="407" t="str">
        <f t="shared" si="0"/>
        <v>&lt;Malzsorte wählen&gt;</v>
      </c>
      <c r="AS22" s="540" t="str">
        <f t="shared" si="1"/>
        <v/>
      </c>
      <c r="AT22" s="539"/>
      <c r="AU22" s="539" t="str">
        <f t="shared" si="2"/>
        <v/>
      </c>
      <c r="AV22" s="539"/>
      <c r="AW22" s="539"/>
      <c r="AX22" s="539"/>
      <c r="AY22" s="539"/>
      <c r="AZ22" s="408"/>
    </row>
    <row r="23" spans="1:52" ht="14.25" customHeight="1">
      <c r="A23" s="51" t="s">
        <v>53</v>
      </c>
      <c r="B23" s="60"/>
      <c r="C23" s="175"/>
      <c r="D23" s="874" t="s">
        <v>61</v>
      </c>
      <c r="E23" s="874"/>
      <c r="F23" s="874"/>
      <c r="G23" s="874"/>
      <c r="H23" s="874"/>
      <c r="I23" s="874"/>
      <c r="J23" s="874"/>
      <c r="K23" s="874"/>
      <c r="L23" s="874"/>
      <c r="M23" s="873" t="str">
        <f>IF(ISERROR(VLOOKUP(D23,daten!$D$3:$E$59,2,FALSE)),"0",VLOOKUP(D23,daten!$D$3:$E$59,2,FALSE))</f>
        <v>0</v>
      </c>
      <c r="N23" s="873"/>
      <c r="O23" s="1204"/>
      <c r="P23" s="1204"/>
      <c r="Q23" s="1205" t="str">
        <f t="shared" si="3"/>
        <v/>
      </c>
      <c r="R23" s="1205"/>
      <c r="S23" s="1205"/>
      <c r="U23" s="964"/>
      <c r="V23" s="965"/>
      <c r="W23" s="965"/>
      <c r="X23" s="965"/>
      <c r="Y23" s="965"/>
      <c r="Z23" s="965"/>
      <c r="AA23" s="965"/>
      <c r="AB23" s="965"/>
      <c r="AC23" s="965"/>
      <c r="AD23" s="965"/>
      <c r="AE23" s="965"/>
      <c r="AF23" s="966"/>
      <c r="AG23" s="188"/>
      <c r="AH23" s="96"/>
      <c r="AI23" s="94"/>
      <c r="AR23" s="407" t="str">
        <f t="shared" si="0"/>
        <v>&lt;Malzsorte wählen&gt;</v>
      </c>
      <c r="AS23" s="540" t="str">
        <f t="shared" si="1"/>
        <v/>
      </c>
      <c r="AT23" s="539"/>
      <c r="AU23" s="539" t="str">
        <f t="shared" si="2"/>
        <v/>
      </c>
      <c r="AV23" s="539"/>
      <c r="AW23" s="539"/>
      <c r="AX23" s="539"/>
      <c r="AY23" s="539"/>
      <c r="AZ23" s="408"/>
    </row>
    <row r="24" spans="1:52" ht="14.25" customHeight="1">
      <c r="B24" s="60"/>
      <c r="C24" s="175"/>
      <c r="D24" s="874" t="s">
        <v>61</v>
      </c>
      <c r="E24" s="874"/>
      <c r="F24" s="874"/>
      <c r="G24" s="874"/>
      <c r="H24" s="874"/>
      <c r="I24" s="874"/>
      <c r="J24" s="874"/>
      <c r="K24" s="874"/>
      <c r="L24" s="874"/>
      <c r="M24" s="873" t="str">
        <f>IF(ISERROR(VLOOKUP(D24,daten!$D$3:$E$59,2,FALSE)),"0",VLOOKUP(D24,daten!$D$3:$E$59,2,FALSE))</f>
        <v>0</v>
      </c>
      <c r="N24" s="873"/>
      <c r="O24" s="1204"/>
      <c r="P24" s="1204"/>
      <c r="Q24" s="1205" t="str">
        <f t="shared" si="3"/>
        <v/>
      </c>
      <c r="R24" s="1205"/>
      <c r="S24" s="1205"/>
      <c r="U24" s="967"/>
      <c r="V24" s="968"/>
      <c r="W24" s="968"/>
      <c r="X24" s="968"/>
      <c r="Y24" s="968"/>
      <c r="Z24" s="968"/>
      <c r="AA24" s="968"/>
      <c r="AB24" s="968"/>
      <c r="AC24" s="968"/>
      <c r="AD24" s="968"/>
      <c r="AE24" s="968"/>
      <c r="AF24" s="969"/>
      <c r="AG24" s="188"/>
      <c r="AH24" s="96"/>
      <c r="AI24" s="94"/>
      <c r="AR24" s="407" t="str">
        <f t="shared" si="0"/>
        <v>&lt;Malzsorte wählen&gt;</v>
      </c>
      <c r="AS24" s="540" t="str">
        <f t="shared" si="1"/>
        <v/>
      </c>
      <c r="AT24" s="539"/>
      <c r="AU24" s="539" t="str">
        <f t="shared" si="2"/>
        <v/>
      </c>
      <c r="AV24" s="539"/>
      <c r="AW24" s="539"/>
      <c r="AX24" s="539"/>
      <c r="AY24" s="539"/>
      <c r="AZ24" s="408"/>
    </row>
    <row r="25" spans="1:52" ht="2.25" customHeight="1">
      <c r="B25" s="60"/>
      <c r="C25" s="172"/>
      <c r="D25" s="169"/>
      <c r="E25" s="169"/>
      <c r="F25" s="169"/>
      <c r="G25" s="169"/>
      <c r="H25" s="169"/>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8"/>
      <c r="AH25" s="62"/>
      <c r="AI25" s="94"/>
      <c r="AJ25" s="94"/>
      <c r="AR25" s="407"/>
      <c r="AS25" s="539"/>
      <c r="AT25" s="539"/>
      <c r="AU25" s="539"/>
      <c r="AV25" s="539"/>
      <c r="AW25" s="539"/>
      <c r="AX25" s="539"/>
      <c r="AY25" s="539"/>
      <c r="AZ25" s="408"/>
    </row>
    <row r="26" spans="1:52" ht="5.25" customHeight="1">
      <c r="B26" s="60"/>
      <c r="AH26" s="62"/>
      <c r="AR26" s="407"/>
      <c r="AS26" s="539"/>
      <c r="AT26" s="539"/>
      <c r="AU26" s="539"/>
      <c r="AV26" s="539" t="s">
        <v>64</v>
      </c>
      <c r="AW26" s="539" t="s">
        <v>63</v>
      </c>
      <c r="AX26" s="539" t="s">
        <v>32</v>
      </c>
      <c r="AY26" s="539"/>
      <c r="AZ26" s="408"/>
    </row>
    <row r="27" spans="1:52" ht="2.4" customHeight="1">
      <c r="B27" s="60"/>
      <c r="C27" s="177"/>
      <c r="D27" s="164"/>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76"/>
      <c r="AH27" s="62"/>
      <c r="AR27" s="407"/>
      <c r="AS27" s="539"/>
      <c r="AT27" s="539"/>
      <c r="AU27" s="539"/>
      <c r="AV27" s="539"/>
      <c r="AW27" s="539"/>
      <c r="AX27" s="539"/>
      <c r="AY27" s="539"/>
      <c r="AZ27" s="408"/>
    </row>
    <row r="28" spans="1:52" ht="14.25" customHeight="1">
      <c r="B28" s="60"/>
      <c r="C28" s="175"/>
      <c r="D28" s="174" t="s">
        <v>2</v>
      </c>
      <c r="I28" s="165" t="s">
        <v>820</v>
      </c>
      <c r="J28" s="586"/>
      <c r="K28" s="61"/>
      <c r="L28" s="61"/>
      <c r="M28" s="557"/>
      <c r="N28" s="557"/>
      <c r="O28" s="874" t="s">
        <v>1327</v>
      </c>
      <c r="P28" s="874"/>
      <c r="Q28" s="874"/>
      <c r="R28" s="874"/>
      <c r="S28" s="874"/>
      <c r="T28" s="874"/>
      <c r="U28" s="874"/>
      <c r="V28" s="874"/>
      <c r="W28" s="874"/>
      <c r="X28" s="830" t="str">
        <f>IF(O28="Dekoktionsmaischverfahren","Bitte die Karte aufklappen [+]","")</f>
        <v/>
      </c>
      <c r="Y28" s="61"/>
      <c r="Z28" s="61"/>
      <c r="AA28" s="61"/>
      <c r="AB28" s="61"/>
      <c r="AC28" s="557"/>
      <c r="AD28" s="61"/>
      <c r="AE28" s="61"/>
      <c r="AF28" s="61"/>
      <c r="AG28" s="83"/>
      <c r="AH28" s="62"/>
      <c r="AR28" s="407"/>
      <c r="AS28" s="539"/>
      <c r="AT28" s="539"/>
      <c r="AU28" s="539"/>
      <c r="AV28" s="539"/>
      <c r="AW28" s="539"/>
      <c r="AX28" s="539"/>
      <c r="AY28" s="539"/>
      <c r="AZ28" s="408"/>
    </row>
    <row r="29" spans="1:52" ht="2.25" customHeight="1">
      <c r="B29" s="60"/>
      <c r="C29" s="175"/>
      <c r="AE29" s="855"/>
      <c r="AF29" s="855"/>
      <c r="AG29" s="173"/>
      <c r="AH29" s="62"/>
      <c r="AR29" s="407"/>
      <c r="AS29" s="539"/>
      <c r="AT29" s="539"/>
      <c r="AU29" s="539"/>
      <c r="AV29" s="539"/>
      <c r="AW29" s="539"/>
      <c r="AX29" s="539"/>
      <c r="AY29" s="539"/>
      <c r="AZ29" s="408"/>
    </row>
    <row r="30" spans="1:52" ht="14.25" customHeight="1">
      <c r="B30" s="60"/>
      <c r="C30" s="175"/>
      <c r="D30" s="975" t="s">
        <v>1133</v>
      </c>
      <c r="E30" s="975"/>
      <c r="F30" s="975"/>
      <c r="G30" s="975"/>
      <c r="H30" s="170"/>
      <c r="I30" s="587" t="s">
        <v>1135</v>
      </c>
      <c r="J30" s="955"/>
      <c r="K30" s="955"/>
      <c r="L30" s="588" t="s">
        <v>814</v>
      </c>
      <c r="M30" s="588"/>
      <c r="N30" s="424"/>
      <c r="O30" s="424"/>
      <c r="P30" s="977" t="str">
        <f>VLOOKUP(D30,$I$89:$J$137,2,FALSE)</f>
        <v>Rast</v>
      </c>
      <c r="Q30" s="977"/>
      <c r="R30" s="977"/>
      <c r="S30" s="977"/>
      <c r="T30" s="977"/>
      <c r="U30" s="977"/>
      <c r="V30" s="977"/>
      <c r="W30" s="977"/>
      <c r="X30" s="424"/>
      <c r="Y30" s="424"/>
      <c r="Z30" s="424"/>
      <c r="AA30" s="424"/>
      <c r="AB30" s="424"/>
      <c r="AC30" s="424"/>
      <c r="AD30" s="424"/>
      <c r="AE30" s="424"/>
      <c r="AF30" s="369"/>
      <c r="AG30" s="180"/>
      <c r="AH30" s="62"/>
      <c r="AR30" s="407">
        <f>J30/1440</f>
        <v>0</v>
      </c>
      <c r="AS30" s="539"/>
      <c r="AT30" s="539"/>
      <c r="AU30" s="539" t="s">
        <v>36</v>
      </c>
      <c r="AV30" s="539" t="s">
        <v>37</v>
      </c>
      <c r="AW30" s="539" t="s">
        <v>32</v>
      </c>
      <c r="AX30" s="539"/>
      <c r="AY30" s="539"/>
      <c r="AZ30" s="408"/>
    </row>
    <row r="31" spans="1:52" ht="14.25" customHeight="1">
      <c r="B31" s="60"/>
      <c r="C31" s="175"/>
      <c r="D31" s="976" t="s">
        <v>1133</v>
      </c>
      <c r="E31" s="976"/>
      <c r="F31" s="976"/>
      <c r="G31" s="976"/>
      <c r="H31" s="589"/>
      <c r="I31" s="590" t="s">
        <v>1135</v>
      </c>
      <c r="J31" s="952"/>
      <c r="K31" s="952"/>
      <c r="L31" s="591" t="s">
        <v>814</v>
      </c>
      <c r="M31" s="591"/>
      <c r="N31" s="425"/>
      <c r="O31" s="425"/>
      <c r="P31" s="978" t="str">
        <f>VLOOKUP(D31,$I$89:$J$137,2,FALSE)</f>
        <v>Rast</v>
      </c>
      <c r="Q31" s="978"/>
      <c r="R31" s="978"/>
      <c r="S31" s="978"/>
      <c r="T31" s="978"/>
      <c r="U31" s="978"/>
      <c r="V31" s="978"/>
      <c r="W31" s="978"/>
      <c r="X31" s="425"/>
      <c r="Y31" s="425"/>
      <c r="Z31" s="425"/>
      <c r="AA31" s="425"/>
      <c r="AB31" s="425"/>
      <c r="AC31" s="425"/>
      <c r="AD31" s="425"/>
      <c r="AE31" s="425"/>
      <c r="AF31" s="187"/>
      <c r="AG31" s="186"/>
      <c r="AH31" s="62"/>
      <c r="AR31" s="407">
        <f>J31/1440</f>
        <v>0</v>
      </c>
      <c r="AS31" s="539"/>
      <c r="AT31" s="539"/>
      <c r="AU31" s="539"/>
      <c r="AV31" s="539"/>
      <c r="AW31" s="539"/>
      <c r="AX31" s="539"/>
      <c r="AY31" s="539"/>
      <c r="AZ31" s="408"/>
    </row>
    <row r="32" spans="1:52" ht="14.25" customHeight="1">
      <c r="B32" s="60"/>
      <c r="C32" s="175"/>
      <c r="D32" s="976" t="s">
        <v>1133</v>
      </c>
      <c r="E32" s="976"/>
      <c r="F32" s="976"/>
      <c r="G32" s="976"/>
      <c r="H32" s="589"/>
      <c r="I32" s="590" t="s">
        <v>1135</v>
      </c>
      <c r="J32" s="952"/>
      <c r="K32" s="952"/>
      <c r="L32" s="592" t="s">
        <v>814</v>
      </c>
      <c r="M32" s="592"/>
      <c r="N32" s="424"/>
      <c r="O32" s="424"/>
      <c r="P32" s="979" t="str">
        <f>VLOOKUP(D32,$I$89:$J$137,2,FALSE)</f>
        <v>Rast</v>
      </c>
      <c r="Q32" s="979"/>
      <c r="R32" s="979"/>
      <c r="S32" s="979"/>
      <c r="T32" s="979"/>
      <c r="U32" s="979"/>
      <c r="V32" s="979"/>
      <c r="W32" s="979"/>
      <c r="X32" s="424"/>
      <c r="Y32" s="424"/>
      <c r="Z32" s="424"/>
      <c r="AA32" s="424"/>
      <c r="AB32" s="424"/>
      <c r="AC32" s="424"/>
      <c r="AD32" s="424"/>
      <c r="AE32" s="424"/>
      <c r="AF32" s="187"/>
      <c r="AG32" s="186"/>
      <c r="AH32" s="62"/>
      <c r="AR32" s="407">
        <f>J32/1440</f>
        <v>0</v>
      </c>
      <c r="AS32" s="539"/>
      <c r="AT32" s="539"/>
      <c r="AU32" s="539"/>
      <c r="AV32" s="539"/>
      <c r="AW32" s="539"/>
      <c r="AX32" s="539"/>
      <c r="AY32" s="539"/>
      <c r="AZ32" s="408"/>
    </row>
    <row r="33" spans="2:52" ht="2.25" customHeight="1">
      <c r="B33" s="60"/>
      <c r="C33" s="175"/>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73"/>
      <c r="AH33" s="62"/>
      <c r="AR33" s="407"/>
      <c r="AS33" s="539"/>
      <c r="AT33" s="539"/>
      <c r="AU33" s="539"/>
      <c r="AV33" s="539"/>
      <c r="AW33" s="539"/>
      <c r="AX33" s="539"/>
      <c r="AY33" s="539"/>
      <c r="AZ33" s="408"/>
    </row>
    <row r="34" spans="2:52" ht="2.25" customHeight="1">
      <c r="B34" s="60"/>
      <c r="C34" s="175"/>
      <c r="E34" s="165"/>
      <c r="AG34" s="173"/>
      <c r="AH34" s="62"/>
      <c r="AR34" s="407"/>
      <c r="AS34" s="539"/>
      <c r="AT34" s="539"/>
      <c r="AU34" s="539"/>
      <c r="AV34" s="539"/>
      <c r="AW34" s="539"/>
      <c r="AX34" s="539"/>
      <c r="AY34" s="539"/>
      <c r="AZ34" s="408"/>
    </row>
    <row r="35" spans="2:52" ht="14.25" hidden="1" customHeight="1" outlineLevel="1">
      <c r="B35" s="60"/>
      <c r="C35" s="175"/>
      <c r="D35" s="165" t="s">
        <v>812</v>
      </c>
      <c r="L35" s="874" t="s">
        <v>1237</v>
      </c>
      <c r="M35" s="874"/>
      <c r="N35" s="874"/>
      <c r="O35" s="874"/>
      <c r="P35" s="874"/>
      <c r="R35" s="762"/>
      <c r="S35" s="169" t="s">
        <v>811</v>
      </c>
      <c r="T35" s="169"/>
      <c r="U35" s="169"/>
      <c r="V35" s="169"/>
      <c r="W35" s="169"/>
      <c r="X35" s="169"/>
      <c r="Y35" s="587"/>
      <c r="AA35" s="185"/>
      <c r="AE35" s="185"/>
      <c r="AF35" s="185"/>
      <c r="AG35" s="184"/>
      <c r="AH35" s="62"/>
      <c r="AR35" s="407"/>
      <c r="AS35" s="539"/>
      <c r="AT35" s="539"/>
      <c r="AU35" s="539"/>
      <c r="AV35" s="539"/>
      <c r="AW35" s="539"/>
      <c r="AX35" s="539"/>
      <c r="AY35" s="539"/>
      <c r="AZ35" s="408"/>
    </row>
    <row r="36" spans="2:52" ht="14.25" hidden="1" customHeight="1" outlineLevel="1">
      <c r="B36" s="60"/>
      <c r="C36" s="175"/>
      <c r="D36" s="975" t="s">
        <v>1133</v>
      </c>
      <c r="E36" s="975"/>
      <c r="F36" s="975"/>
      <c r="G36" s="975"/>
      <c r="H36" s="169"/>
      <c r="I36" s="587" t="s">
        <v>1135</v>
      </c>
      <c r="J36" s="955"/>
      <c r="K36" s="955"/>
      <c r="L36" s="588" t="s">
        <v>814</v>
      </c>
      <c r="M36" s="588"/>
      <c r="N36" s="424"/>
      <c r="O36" s="424"/>
      <c r="P36" s="977" t="str">
        <f>VLOOKUP(D36,$I$89:$J$137,2,FALSE)</f>
        <v>Rast</v>
      </c>
      <c r="Q36" s="977"/>
      <c r="R36" s="977"/>
      <c r="S36" s="977"/>
      <c r="T36" s="977"/>
      <c r="U36" s="977"/>
      <c r="V36" s="977"/>
      <c r="W36" s="977"/>
      <c r="X36" s="424"/>
      <c r="Y36" s="424"/>
      <c r="Z36" s="424"/>
      <c r="AA36" s="424"/>
      <c r="AB36" s="424"/>
      <c r="AC36" s="424"/>
      <c r="AD36" s="424"/>
      <c r="AE36" s="424"/>
      <c r="AF36" s="369"/>
      <c r="AG36" s="180"/>
      <c r="AH36" s="62"/>
      <c r="AR36" s="407">
        <f>J36/1440</f>
        <v>0</v>
      </c>
      <c r="AS36" s="539"/>
      <c r="AT36" s="539"/>
      <c r="AU36" s="539"/>
      <c r="AV36" s="539"/>
      <c r="AW36" s="539"/>
      <c r="AX36" s="539"/>
      <c r="AY36" s="539"/>
      <c r="AZ36" s="408"/>
    </row>
    <row r="37" spans="2:52" ht="14.25" hidden="1" customHeight="1" outlineLevel="1">
      <c r="B37" s="60"/>
      <c r="C37" s="175"/>
      <c r="D37" s="976" t="s">
        <v>1133</v>
      </c>
      <c r="E37" s="976"/>
      <c r="F37" s="976"/>
      <c r="G37" s="976"/>
      <c r="H37" s="593"/>
      <c r="I37" s="590" t="s">
        <v>1135</v>
      </c>
      <c r="J37" s="952"/>
      <c r="K37" s="952"/>
      <c r="L37" s="592" t="s">
        <v>814</v>
      </c>
      <c r="M37" s="592"/>
      <c r="N37" s="424"/>
      <c r="O37" s="424"/>
      <c r="P37" s="980" t="str">
        <f>VLOOKUP(D37,$I$89:$J$137,2,FALSE)</f>
        <v>Rast</v>
      </c>
      <c r="Q37" s="980"/>
      <c r="R37" s="980"/>
      <c r="S37" s="980"/>
      <c r="T37" s="980"/>
      <c r="U37" s="980"/>
      <c r="V37" s="980"/>
      <c r="W37" s="980"/>
      <c r="X37" s="424"/>
      <c r="Y37" s="424"/>
      <c r="Z37" s="424"/>
      <c r="AA37" s="424"/>
      <c r="AB37" s="424"/>
      <c r="AC37" s="424"/>
      <c r="AD37" s="424"/>
      <c r="AE37" s="424"/>
      <c r="AF37" s="369"/>
      <c r="AG37" s="180"/>
      <c r="AH37" s="62"/>
      <c r="AR37" s="407">
        <f>J37/1440</f>
        <v>0</v>
      </c>
      <c r="AS37" s="539"/>
      <c r="AT37" s="539"/>
      <c r="AU37" s="539"/>
      <c r="AV37" s="539" t="s">
        <v>35</v>
      </c>
      <c r="AW37" s="539" t="s">
        <v>32</v>
      </c>
      <c r="AX37" s="539"/>
      <c r="AY37" s="539"/>
      <c r="AZ37" s="408"/>
    </row>
    <row r="38" spans="2:52" ht="14.25" hidden="1" customHeight="1" outlineLevel="1">
      <c r="B38" s="60"/>
      <c r="C38" s="175"/>
      <c r="D38" s="976" t="s">
        <v>1133</v>
      </c>
      <c r="E38" s="976"/>
      <c r="F38" s="976"/>
      <c r="G38" s="976"/>
      <c r="H38" s="593"/>
      <c r="I38" s="590" t="s">
        <v>1135</v>
      </c>
      <c r="J38" s="952"/>
      <c r="K38" s="952"/>
      <c r="L38" s="592" t="s">
        <v>814</v>
      </c>
      <c r="M38" s="592"/>
      <c r="N38" s="424"/>
      <c r="O38" s="424"/>
      <c r="P38" s="980" t="str">
        <f>VLOOKUP(D38,$I$89:$J$137,2,FALSE)</f>
        <v>Rast</v>
      </c>
      <c r="Q38" s="980"/>
      <c r="R38" s="980"/>
      <c r="S38" s="980"/>
      <c r="T38" s="980"/>
      <c r="U38" s="980"/>
      <c r="V38" s="980"/>
      <c r="W38" s="980"/>
      <c r="X38" s="424"/>
      <c r="Y38" s="424"/>
      <c r="Z38" s="424"/>
      <c r="AA38" s="424"/>
      <c r="AB38" s="424"/>
      <c r="AC38" s="424"/>
      <c r="AD38" s="424"/>
      <c r="AE38" s="424"/>
      <c r="AF38" s="369"/>
      <c r="AG38" s="180"/>
      <c r="AH38" s="62"/>
      <c r="AR38" s="407">
        <f>J38/1440</f>
        <v>0</v>
      </c>
      <c r="AS38" s="539"/>
      <c r="AT38" s="539"/>
      <c r="AU38" s="539"/>
      <c r="AV38" s="539"/>
      <c r="AW38" s="539"/>
      <c r="AX38" s="539"/>
      <c r="AY38" s="539"/>
      <c r="AZ38" s="408"/>
    </row>
    <row r="39" spans="2:52" ht="14.25" hidden="1" customHeight="1" outlineLevel="1">
      <c r="B39" s="60"/>
      <c r="C39" s="175"/>
      <c r="D39" s="165" t="s">
        <v>821</v>
      </c>
      <c r="I39" s="165"/>
      <c r="AE39" s="855"/>
      <c r="AF39" s="855"/>
      <c r="AG39" s="173"/>
      <c r="AH39" s="62"/>
      <c r="AR39" s="407"/>
      <c r="AS39" s="539"/>
      <c r="AT39" s="539"/>
      <c r="AU39" s="539"/>
      <c r="AV39" s="539"/>
      <c r="AW39" s="539"/>
      <c r="AX39" s="539"/>
      <c r="AY39" s="539"/>
      <c r="AZ39" s="408"/>
    </row>
    <row r="40" spans="2:52" ht="14.25" hidden="1" customHeight="1" outlineLevel="1">
      <c r="B40" s="60"/>
      <c r="C40" s="175"/>
      <c r="D40" s="975" t="s">
        <v>1133</v>
      </c>
      <c r="E40" s="975"/>
      <c r="F40" s="975"/>
      <c r="G40" s="975"/>
      <c r="H40" s="170"/>
      <c r="I40" s="587" t="s">
        <v>1135</v>
      </c>
      <c r="J40" s="955"/>
      <c r="K40" s="955"/>
      <c r="L40" s="588" t="s">
        <v>814</v>
      </c>
      <c r="M40" s="588"/>
      <c r="N40" s="424"/>
      <c r="O40" s="424"/>
      <c r="P40" s="977" t="str">
        <f>VLOOKUP(D40,$I$89:$J$137,2,FALSE)</f>
        <v>Rast</v>
      </c>
      <c r="Q40" s="977"/>
      <c r="R40" s="977"/>
      <c r="S40" s="977"/>
      <c r="T40" s="977"/>
      <c r="U40" s="977"/>
      <c r="V40" s="977"/>
      <c r="W40" s="977"/>
      <c r="X40" s="424"/>
      <c r="Y40" s="424"/>
      <c r="Z40" s="424"/>
      <c r="AA40" s="424"/>
      <c r="AB40" s="424"/>
      <c r="AC40" s="424"/>
      <c r="AD40" s="424"/>
      <c r="AE40" s="424"/>
      <c r="AF40" s="369"/>
      <c r="AG40" s="180"/>
      <c r="AH40" s="62"/>
      <c r="AR40" s="407">
        <f>J40/1440</f>
        <v>0</v>
      </c>
      <c r="AS40" s="539"/>
      <c r="AT40" s="539"/>
      <c r="AU40" s="539" t="s">
        <v>36</v>
      </c>
      <c r="AV40" s="539" t="s">
        <v>37</v>
      </c>
      <c r="AW40" s="539" t="s">
        <v>32</v>
      </c>
      <c r="AX40" s="539"/>
      <c r="AY40" s="539"/>
      <c r="AZ40" s="408"/>
    </row>
    <row r="41" spans="2:52" ht="14.25" hidden="1" customHeight="1" outlineLevel="1">
      <c r="B41" s="60"/>
      <c r="C41" s="175"/>
      <c r="D41" s="976" t="s">
        <v>1133</v>
      </c>
      <c r="E41" s="976"/>
      <c r="F41" s="976"/>
      <c r="G41" s="976"/>
      <c r="H41" s="589"/>
      <c r="I41" s="590" t="s">
        <v>1135</v>
      </c>
      <c r="J41" s="952"/>
      <c r="K41" s="952"/>
      <c r="L41" s="592" t="s">
        <v>814</v>
      </c>
      <c r="M41" s="592"/>
      <c r="N41" s="424"/>
      <c r="O41" s="424"/>
      <c r="P41" s="980" t="str">
        <f>VLOOKUP(D41,$I$89:$J$137,2,FALSE)</f>
        <v>Rast</v>
      </c>
      <c r="Q41" s="980"/>
      <c r="R41" s="980"/>
      <c r="S41" s="980"/>
      <c r="T41" s="980"/>
      <c r="U41" s="980"/>
      <c r="V41" s="980"/>
      <c r="W41" s="980"/>
      <c r="X41" s="424"/>
      <c r="Y41" s="424"/>
      <c r="Z41" s="424"/>
      <c r="AA41" s="424"/>
      <c r="AB41" s="424"/>
      <c r="AC41" s="424"/>
      <c r="AD41" s="424"/>
      <c r="AE41" s="424"/>
      <c r="AF41" s="369"/>
      <c r="AG41" s="180"/>
      <c r="AH41" s="62"/>
      <c r="AR41" s="407">
        <f>J41/1440</f>
        <v>0</v>
      </c>
      <c r="AS41" s="539"/>
      <c r="AT41" s="539"/>
      <c r="AU41" s="539" t="s">
        <v>36</v>
      </c>
      <c r="AV41" s="539" t="s">
        <v>37</v>
      </c>
      <c r="AW41" s="539" t="s">
        <v>32</v>
      </c>
      <c r="AX41" s="539"/>
      <c r="AY41" s="539"/>
      <c r="AZ41" s="408"/>
    </row>
    <row r="42" spans="2:52" ht="2.25" hidden="1" customHeight="1" outlineLevel="1">
      <c r="B42" s="60"/>
      <c r="C42" s="175"/>
      <c r="D42" s="167"/>
      <c r="E42" s="167"/>
      <c r="F42" s="167"/>
      <c r="G42" s="167"/>
      <c r="H42" s="167"/>
      <c r="I42" s="167"/>
      <c r="J42" s="167"/>
      <c r="K42" s="167"/>
      <c r="L42" s="367"/>
      <c r="M42" s="166"/>
      <c r="N42" s="166"/>
      <c r="O42" s="166"/>
      <c r="P42" s="166"/>
      <c r="Q42" s="367"/>
      <c r="R42" s="166"/>
      <c r="S42" s="166"/>
      <c r="T42" s="166"/>
      <c r="U42" s="166"/>
      <c r="V42" s="236"/>
      <c r="W42" s="166"/>
      <c r="X42" s="167"/>
      <c r="Y42" s="167"/>
      <c r="Z42" s="181"/>
      <c r="AA42" s="236"/>
      <c r="AB42" s="236"/>
      <c r="AC42" s="236"/>
      <c r="AD42" s="236"/>
      <c r="AE42" s="424"/>
      <c r="AF42" s="369"/>
      <c r="AG42" s="180"/>
      <c r="AH42" s="62"/>
      <c r="AR42" s="407"/>
      <c r="AS42" s="539"/>
      <c r="AT42" s="539"/>
      <c r="AU42" s="539"/>
      <c r="AV42" s="539"/>
      <c r="AW42" s="539"/>
      <c r="AX42" s="539"/>
      <c r="AY42" s="539"/>
      <c r="AZ42" s="408"/>
    </row>
    <row r="43" spans="2:52" ht="14.25" hidden="1" customHeight="1" outlineLevel="1">
      <c r="B43" s="60"/>
      <c r="C43" s="175"/>
      <c r="D43" s="165" t="s">
        <v>813</v>
      </c>
      <c r="L43" s="874" t="s">
        <v>1237</v>
      </c>
      <c r="M43" s="874"/>
      <c r="N43" s="874"/>
      <c r="O43" s="874"/>
      <c r="P43" s="874"/>
      <c r="R43" s="762"/>
      <c r="S43" s="169" t="s">
        <v>811</v>
      </c>
      <c r="T43" s="169"/>
      <c r="U43" s="169"/>
      <c r="V43" s="169"/>
      <c r="W43" s="169"/>
      <c r="X43" s="587"/>
      <c r="Y43" s="169"/>
      <c r="AA43" s="185"/>
      <c r="AC43" s="422"/>
      <c r="AE43" s="423"/>
      <c r="AF43" s="185"/>
      <c r="AG43" s="184"/>
      <c r="AH43" s="62"/>
      <c r="AR43" s="407"/>
      <c r="AS43" s="539"/>
      <c r="AT43" s="539"/>
      <c r="AU43" s="539"/>
      <c r="AV43" s="539"/>
      <c r="AW43" s="539"/>
      <c r="AX43" s="539"/>
      <c r="AY43" s="539"/>
      <c r="AZ43" s="408"/>
    </row>
    <row r="44" spans="2:52" ht="14.25" hidden="1" customHeight="1" outlineLevel="1">
      <c r="B44" s="60"/>
      <c r="C44" s="175"/>
      <c r="D44" s="975" t="s">
        <v>1133</v>
      </c>
      <c r="E44" s="975"/>
      <c r="F44" s="975"/>
      <c r="G44" s="975"/>
      <c r="H44" s="169"/>
      <c r="I44" s="587" t="s">
        <v>1135</v>
      </c>
      <c r="J44" s="955"/>
      <c r="K44" s="955"/>
      <c r="L44" s="588" t="s">
        <v>814</v>
      </c>
      <c r="M44" s="588"/>
      <c r="N44" s="424"/>
      <c r="O44" s="424"/>
      <c r="P44" s="977" t="str">
        <f>VLOOKUP(D44,$I$89:$J$137,2,FALSE)</f>
        <v>Rast</v>
      </c>
      <c r="Q44" s="977"/>
      <c r="R44" s="977"/>
      <c r="S44" s="977"/>
      <c r="T44" s="977"/>
      <c r="U44" s="977"/>
      <c r="V44" s="977"/>
      <c r="W44" s="977"/>
      <c r="X44" s="424"/>
      <c r="Y44" s="424"/>
      <c r="Z44" s="424"/>
      <c r="AA44" s="424"/>
      <c r="AB44" s="424"/>
      <c r="AC44" s="424"/>
      <c r="AD44" s="424"/>
      <c r="AE44" s="424"/>
      <c r="AF44" s="369"/>
      <c r="AG44" s="180"/>
      <c r="AH44" s="62"/>
      <c r="AR44" s="407">
        <f>J44/1440</f>
        <v>0</v>
      </c>
      <c r="AS44" s="539"/>
      <c r="AT44" s="539"/>
      <c r="AU44" s="539"/>
      <c r="AV44" s="539"/>
      <c r="AW44" s="539"/>
      <c r="AX44" s="539"/>
      <c r="AY44" s="539"/>
      <c r="AZ44" s="408"/>
    </row>
    <row r="45" spans="2:52" ht="14.25" hidden="1" customHeight="1" outlineLevel="1">
      <c r="B45" s="60"/>
      <c r="C45" s="175"/>
      <c r="D45" s="976" t="s">
        <v>1133</v>
      </c>
      <c r="E45" s="976"/>
      <c r="F45" s="976"/>
      <c r="G45" s="976"/>
      <c r="H45" s="593"/>
      <c r="I45" s="590" t="s">
        <v>1135</v>
      </c>
      <c r="J45" s="952"/>
      <c r="K45" s="952"/>
      <c r="L45" s="592" t="s">
        <v>814</v>
      </c>
      <c r="M45" s="592"/>
      <c r="N45" s="424"/>
      <c r="O45" s="424"/>
      <c r="P45" s="980" t="str">
        <f>VLOOKUP(D45,$I$89:$J$137,2,FALSE)</f>
        <v>Rast</v>
      </c>
      <c r="Q45" s="980"/>
      <c r="R45" s="980"/>
      <c r="S45" s="980"/>
      <c r="T45" s="980"/>
      <c r="U45" s="980"/>
      <c r="V45" s="980"/>
      <c r="W45" s="980"/>
      <c r="X45" s="424"/>
      <c r="Y45" s="424"/>
      <c r="Z45" s="424"/>
      <c r="AA45" s="424"/>
      <c r="AB45" s="424"/>
      <c r="AC45" s="424"/>
      <c r="AD45" s="424"/>
      <c r="AE45" s="424"/>
      <c r="AF45" s="369"/>
      <c r="AG45" s="180"/>
      <c r="AH45" s="62"/>
      <c r="AR45" s="407">
        <f>J45/1440</f>
        <v>0</v>
      </c>
      <c r="AS45" s="539"/>
      <c r="AT45" s="539"/>
      <c r="AU45" s="539"/>
      <c r="AV45" s="539"/>
      <c r="AW45" s="539"/>
      <c r="AX45" s="539"/>
      <c r="AY45" s="539"/>
      <c r="AZ45" s="408"/>
    </row>
    <row r="46" spans="2:52" ht="14.25" hidden="1" customHeight="1" outlineLevel="1">
      <c r="B46" s="60"/>
      <c r="C46" s="175"/>
      <c r="D46" s="976" t="s">
        <v>1133</v>
      </c>
      <c r="E46" s="976"/>
      <c r="F46" s="976"/>
      <c r="G46" s="976"/>
      <c r="H46" s="593"/>
      <c r="I46" s="590" t="s">
        <v>1135</v>
      </c>
      <c r="J46" s="952"/>
      <c r="K46" s="952"/>
      <c r="L46" s="592" t="s">
        <v>814</v>
      </c>
      <c r="M46" s="592"/>
      <c r="N46" s="424"/>
      <c r="O46" s="424"/>
      <c r="P46" s="980" t="str">
        <f>VLOOKUP(D46,$I$89:$J$137,2,FALSE)</f>
        <v>Rast</v>
      </c>
      <c r="Q46" s="980"/>
      <c r="R46" s="980"/>
      <c r="S46" s="980"/>
      <c r="T46" s="980"/>
      <c r="U46" s="980"/>
      <c r="V46" s="980"/>
      <c r="W46" s="980"/>
      <c r="X46" s="424"/>
      <c r="Y46" s="424"/>
      <c r="Z46" s="424"/>
      <c r="AA46" s="424"/>
      <c r="AB46" s="424"/>
      <c r="AC46" s="424"/>
      <c r="AD46" s="424"/>
      <c r="AE46" s="424"/>
      <c r="AF46" s="369"/>
      <c r="AG46" s="180"/>
      <c r="AH46" s="62"/>
      <c r="AR46" s="407">
        <f>J46/1440</f>
        <v>0</v>
      </c>
      <c r="AS46" s="539"/>
      <c r="AT46" s="539"/>
      <c r="AU46" s="539"/>
      <c r="AV46" s="539" t="s">
        <v>35</v>
      </c>
      <c r="AW46" s="539" t="s">
        <v>32</v>
      </c>
      <c r="AX46" s="539"/>
      <c r="AY46" s="539"/>
      <c r="AZ46" s="408"/>
    </row>
    <row r="47" spans="2:52" ht="14.25" hidden="1" customHeight="1" outlineLevel="1">
      <c r="B47" s="60"/>
      <c r="C47" s="175"/>
      <c r="D47" s="165" t="s">
        <v>822</v>
      </c>
      <c r="I47" s="165"/>
      <c r="AC47" s="422"/>
      <c r="AE47" s="148"/>
      <c r="AF47" s="855"/>
      <c r="AG47" s="173"/>
      <c r="AH47" s="62"/>
      <c r="AR47" s="407"/>
      <c r="AS47" s="539"/>
      <c r="AT47" s="539"/>
      <c r="AU47" s="539"/>
      <c r="AV47" s="539"/>
      <c r="AW47" s="539"/>
      <c r="AX47" s="539"/>
      <c r="AY47" s="539"/>
      <c r="AZ47" s="408"/>
    </row>
    <row r="48" spans="2:52" ht="14.25" customHeight="1" collapsed="1">
      <c r="B48" s="60"/>
      <c r="C48" s="175"/>
      <c r="D48" s="975" t="s">
        <v>1133</v>
      </c>
      <c r="E48" s="975"/>
      <c r="F48" s="975"/>
      <c r="G48" s="975"/>
      <c r="H48" s="166"/>
      <c r="I48" s="56" t="s">
        <v>1135</v>
      </c>
      <c r="J48" s="955"/>
      <c r="K48" s="955"/>
      <c r="L48" s="424" t="s">
        <v>814</v>
      </c>
      <c r="M48" s="424"/>
      <c r="N48" s="424"/>
      <c r="O48" s="424"/>
      <c r="P48" s="977" t="str">
        <f>VLOOKUP(D48,$I$89:$J$137,2,FALSE)</f>
        <v>Rast</v>
      </c>
      <c r="Q48" s="977"/>
      <c r="R48" s="977"/>
      <c r="S48" s="977"/>
      <c r="T48" s="977"/>
      <c r="U48" s="977"/>
      <c r="V48" s="977"/>
      <c r="W48" s="977"/>
      <c r="X48" s="424"/>
      <c r="Y48" s="424"/>
      <c r="Z48" s="424"/>
      <c r="AA48" s="424"/>
      <c r="AB48" s="424"/>
      <c r="AC48" s="424"/>
      <c r="AD48" s="424"/>
      <c r="AE48" s="424"/>
      <c r="AF48" s="369"/>
      <c r="AG48" s="180"/>
      <c r="AH48" s="62"/>
      <c r="AR48" s="407">
        <f>J48/1440</f>
        <v>0</v>
      </c>
      <c r="AS48" s="539"/>
      <c r="AT48" s="539"/>
      <c r="AU48" s="539" t="s">
        <v>36</v>
      </c>
      <c r="AV48" s="539" t="s">
        <v>37</v>
      </c>
      <c r="AW48" s="539" t="s">
        <v>32</v>
      </c>
      <c r="AX48" s="539"/>
      <c r="AY48" s="539"/>
      <c r="AZ48" s="408"/>
    </row>
    <row r="49" spans="2:52" ht="2.25" customHeight="1">
      <c r="B49" s="60"/>
      <c r="C49" s="172"/>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8"/>
      <c r="AH49" s="62"/>
      <c r="AR49" s="407"/>
      <c r="AS49" s="539"/>
      <c r="AT49" s="539"/>
      <c r="AU49" s="539"/>
      <c r="AV49" s="539"/>
      <c r="AW49" s="539"/>
      <c r="AX49" s="539"/>
      <c r="AY49" s="539"/>
      <c r="AZ49" s="408"/>
    </row>
    <row r="50" spans="2:52" ht="5.25" customHeight="1">
      <c r="B50" s="60"/>
      <c r="AH50" s="62"/>
      <c r="AR50" s="407"/>
      <c r="AS50" s="539"/>
      <c r="AT50" s="539"/>
      <c r="AU50" s="539"/>
      <c r="AV50" s="539"/>
      <c r="AW50" s="539"/>
      <c r="AX50" s="539"/>
      <c r="AY50" s="539"/>
      <c r="AZ50" s="408"/>
    </row>
    <row r="51" spans="2:52" ht="2.25" customHeight="1">
      <c r="B51" s="60"/>
      <c r="C51" s="98"/>
      <c r="D51" s="66"/>
      <c r="E51" s="66"/>
      <c r="F51" s="66"/>
      <c r="G51" s="66"/>
      <c r="H51" s="66"/>
      <c r="I51" s="66"/>
      <c r="J51" s="66"/>
      <c r="K51" s="66"/>
      <c r="L51" s="66"/>
      <c r="M51" s="66"/>
      <c r="N51" s="66"/>
      <c r="O51" s="66"/>
      <c r="P51" s="66"/>
      <c r="Q51" s="66"/>
      <c r="R51" s="600"/>
      <c r="S51" s="601"/>
      <c r="T51" s="601"/>
      <c r="U51" s="601"/>
      <c r="V51" s="601"/>
      <c r="W51" s="601"/>
      <c r="X51" s="601"/>
      <c r="Y51" s="601"/>
      <c r="Z51" s="601"/>
      <c r="AA51" s="601"/>
      <c r="AB51" s="601"/>
      <c r="AC51" s="601"/>
      <c r="AD51" s="601"/>
      <c r="AE51" s="601"/>
      <c r="AF51" s="601"/>
      <c r="AG51" s="602"/>
      <c r="AH51" s="62"/>
      <c r="AR51" s="407"/>
      <c r="AS51" s="539"/>
      <c r="AT51" s="539"/>
      <c r="AU51" s="539"/>
      <c r="AV51" s="539"/>
      <c r="AW51" s="539"/>
      <c r="AX51" s="539"/>
      <c r="AY51" s="539"/>
      <c r="AZ51" s="408"/>
    </row>
    <row r="52" spans="2:52" ht="14.25" customHeight="1">
      <c r="B52" s="60"/>
      <c r="C52" s="91"/>
      <c r="D52" s="179" t="s">
        <v>225</v>
      </c>
      <c r="E52" s="61"/>
      <c r="F52" s="61"/>
      <c r="G52" s="61"/>
      <c r="H52" s="61"/>
      <c r="I52" s="61"/>
      <c r="J52" s="61"/>
      <c r="K52" s="61"/>
      <c r="L52" s="61"/>
      <c r="M52" s="82" t="s">
        <v>42</v>
      </c>
      <c r="N52" s="957"/>
      <c r="O52" s="957"/>
      <c r="P52" s="555" t="s">
        <v>814</v>
      </c>
      <c r="Q52" s="61"/>
      <c r="R52" s="527" t="s">
        <v>21</v>
      </c>
      <c r="S52" s="599" t="s">
        <v>69</v>
      </c>
      <c r="T52" s="606"/>
      <c r="U52" s="606"/>
      <c r="V52" s="599"/>
      <c r="W52" s="606"/>
      <c r="X52" s="606"/>
      <c r="Y52" s="606"/>
      <c r="Z52" s="606"/>
      <c r="AA52" s="606"/>
      <c r="AB52" s="606"/>
      <c r="AC52" s="606"/>
      <c r="AD52" s="606"/>
      <c r="AE52" s="606"/>
      <c r="AF52" s="606"/>
      <c r="AG52" s="607"/>
      <c r="AH52" s="62"/>
      <c r="AR52" s="409">
        <f>N52/1440</f>
        <v>0</v>
      </c>
      <c r="AS52" s="539"/>
      <c r="AT52" s="539"/>
      <c r="AU52" s="539" t="s">
        <v>46</v>
      </c>
      <c r="AV52" s="539">
        <f>1.65*0.000125^(AR11-1)</f>
        <v>1.69509176561775</v>
      </c>
      <c r="AW52" s="539"/>
      <c r="AX52" s="539"/>
      <c r="AY52" s="539"/>
      <c r="AZ52" s="408"/>
    </row>
    <row r="53" spans="2:52" ht="2.25" customHeight="1">
      <c r="B53" s="60"/>
      <c r="C53" s="91"/>
      <c r="D53" s="80"/>
      <c r="E53" s="80"/>
      <c r="F53" s="80"/>
      <c r="G53" s="80"/>
      <c r="H53" s="80"/>
      <c r="I53" s="80"/>
      <c r="J53" s="80"/>
      <c r="K53" s="80"/>
      <c r="L53" s="80"/>
      <c r="M53" s="80"/>
      <c r="N53" s="80"/>
      <c r="O53" s="80"/>
      <c r="P53" s="80"/>
      <c r="Q53" s="80"/>
      <c r="R53" s="603"/>
      <c r="S53" s="604"/>
      <c r="T53" s="604"/>
      <c r="U53" s="604"/>
      <c r="V53" s="604"/>
      <c r="W53" s="604"/>
      <c r="X53" s="604"/>
      <c r="Y53" s="604"/>
      <c r="Z53" s="604"/>
      <c r="AA53" s="604"/>
      <c r="AB53" s="604"/>
      <c r="AC53" s="604"/>
      <c r="AD53" s="604"/>
      <c r="AE53" s="604"/>
      <c r="AF53" s="604"/>
      <c r="AG53" s="605"/>
      <c r="AH53" s="62"/>
      <c r="AR53" s="407"/>
      <c r="AS53" s="539"/>
      <c r="AT53" s="539"/>
      <c r="AU53" s="539"/>
      <c r="AV53" s="539"/>
      <c r="AW53" s="539"/>
      <c r="AX53" s="539"/>
      <c r="AY53" s="539"/>
      <c r="AZ53" s="408"/>
    </row>
    <row r="54" spans="2:52" ht="2.25" customHeight="1">
      <c r="B54" s="60"/>
      <c r="C54" s="9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83"/>
      <c r="AH54" s="62"/>
      <c r="AR54" s="407"/>
      <c r="AS54" s="539"/>
      <c r="AT54" s="539"/>
      <c r="AU54" s="539"/>
      <c r="AV54" s="539"/>
      <c r="AW54" s="539"/>
      <c r="AX54" s="539"/>
      <c r="AY54" s="539"/>
      <c r="AZ54" s="408"/>
    </row>
    <row r="55" spans="2:52" ht="14.25" customHeight="1">
      <c r="B55" s="60"/>
      <c r="C55" s="91"/>
      <c r="D55" s="960" t="s">
        <v>1331</v>
      </c>
      <c r="E55" s="960"/>
      <c r="F55" s="960"/>
      <c r="G55" s="960"/>
      <c r="H55" s="61"/>
      <c r="I55" s="82" t="s">
        <v>12</v>
      </c>
      <c r="J55" s="874" t="s">
        <v>776</v>
      </c>
      <c r="K55" s="874"/>
      <c r="L55" s="874"/>
      <c r="M55" s="874"/>
      <c r="N55" s="874"/>
      <c r="O55" s="874"/>
      <c r="P55" s="874"/>
      <c r="Q55" s="972" t="str">
        <f>VLOOKUP(J55,daten!$G$2:$H$141,2,FALSE)</f>
        <v>-</v>
      </c>
      <c r="R55" s="972"/>
      <c r="S55" s="972"/>
      <c r="T55" s="972"/>
      <c r="U55" s="61"/>
      <c r="V55" s="61"/>
      <c r="W55" s="82" t="s">
        <v>41</v>
      </c>
      <c r="X55" s="871"/>
      <c r="Y55" s="871"/>
      <c r="AA55" s="1207" t="s">
        <v>1237</v>
      </c>
      <c r="AB55" s="1207"/>
      <c r="AC55" s="1207"/>
      <c r="AE55" s="56" t="s">
        <v>1296</v>
      </c>
      <c r="AF55" s="840"/>
      <c r="AG55" s="83"/>
      <c r="AH55" s="62"/>
      <c r="AJ55" s="404">
        <f>J56</f>
        <v>0</v>
      </c>
      <c r="AR55" s="407" t="str">
        <f>J55</f>
        <v>&lt;Hopfensorte wählen&gt;</v>
      </c>
      <c r="AS55" s="541">
        <f>J56</f>
        <v>0</v>
      </c>
      <c r="AT55" s="539" t="str">
        <f>IF(AF55="J","x","")</f>
        <v/>
      </c>
      <c r="AU55" s="539" t="s">
        <v>82</v>
      </c>
      <c r="AV55" s="539" t="s">
        <v>1328</v>
      </c>
      <c r="AW55" s="539"/>
      <c r="AX55" s="539"/>
      <c r="AY55" s="539"/>
      <c r="AZ55" s="408"/>
    </row>
    <row r="56" spans="2:52" ht="14.25" customHeight="1">
      <c r="B56" s="60"/>
      <c r="C56" s="91"/>
      <c r="D56" s="973" t="s">
        <v>44</v>
      </c>
      <c r="E56" s="973"/>
      <c r="F56" s="1206"/>
      <c r="G56" s="1206"/>
      <c r="H56" s="595" t="s">
        <v>1148</v>
      </c>
      <c r="I56" s="596"/>
      <c r="J56" s="956">
        <f>IF(ISBLANK(F56*$P$11),"",F56*$P$11)</f>
        <v>0</v>
      </c>
      <c r="K56" s="956"/>
      <c r="L56" s="597" t="s">
        <v>13</v>
      </c>
      <c r="N56" s="56" t="s">
        <v>1299</v>
      </c>
      <c r="O56" s="1207" t="s">
        <v>214</v>
      </c>
      <c r="P56" s="1207"/>
      <c r="Q56" s="1207"/>
      <c r="R56" s="1207"/>
      <c r="S56" s="1207"/>
      <c r="T56" s="1207"/>
      <c r="W56" s="82" t="s">
        <v>42</v>
      </c>
      <c r="X56" s="957"/>
      <c r="Y56" s="957"/>
      <c r="Z56" s="594" t="s">
        <v>814</v>
      </c>
      <c r="AA56" s="594"/>
      <c r="AB56" s="829" t="s">
        <v>242</v>
      </c>
      <c r="AC56" s="951" t="str">
        <f>IF(ISERROR(IF(AF55="X",AS56-(AS56*10%),AS56)),"",IF(AF55="X",AS56-(AS56*10%),AS56))</f>
        <v/>
      </c>
      <c r="AD56" s="951"/>
      <c r="AE56" s="61" t="s">
        <v>29</v>
      </c>
      <c r="AF56" s="61"/>
      <c r="AG56" s="83"/>
      <c r="AH56" s="62"/>
      <c r="AR56" s="407">
        <f>X56/1440</f>
        <v>0</v>
      </c>
      <c r="AS56" s="539" t="e">
        <f>(1000*J56*X55%/$P$11)*($AV$52*(1-EXP(-0.04*(X56+$X$70)))/4.15%*(1+COUNTA(AX56:AY56)/10))%/1</f>
        <v>#DIV/0!</v>
      </c>
      <c r="AT56" s="539" t="str">
        <f>IF(F56&gt;0,"j","n")</f>
        <v>n</v>
      </c>
      <c r="AU56" s="539" t="str">
        <f>IF(F56="","",CONCATENATE(J55,", "))</f>
        <v/>
      </c>
      <c r="AV56" s="539"/>
      <c r="AW56" s="539"/>
      <c r="AX56" s="539" t="str">
        <f>IF(AA55="Pellets","x","")</f>
        <v/>
      </c>
      <c r="AY56" s="539" t="str">
        <f>IF(O56="nach Würzebruch","x","")</f>
        <v/>
      </c>
      <c r="AZ56" s="408"/>
    </row>
    <row r="57" spans="2:52" ht="1.8" customHeight="1">
      <c r="B57" s="60"/>
      <c r="C57" s="91"/>
      <c r="D57" s="61"/>
      <c r="E57" s="61"/>
      <c r="F57" s="61"/>
      <c r="G57" s="61"/>
      <c r="H57" s="61"/>
      <c r="I57" s="61"/>
      <c r="J57" s="82"/>
      <c r="K57" s="81"/>
      <c r="L57" s="81"/>
      <c r="M57" s="81"/>
      <c r="N57" s="81"/>
      <c r="O57" s="81"/>
      <c r="P57" s="61"/>
      <c r="Q57" s="61"/>
      <c r="R57" s="61"/>
      <c r="S57" s="61"/>
      <c r="T57" s="61"/>
      <c r="U57" s="61"/>
      <c r="V57" s="61"/>
      <c r="W57" s="61"/>
      <c r="X57" s="82"/>
      <c r="Y57" s="557"/>
      <c r="Z57" s="61"/>
      <c r="AA57" s="61"/>
      <c r="AB57" s="61"/>
      <c r="AC57" s="72"/>
      <c r="AD57" s="178"/>
      <c r="AE57" s="178"/>
      <c r="AF57" s="72"/>
      <c r="AG57" s="83"/>
      <c r="AH57" s="62"/>
      <c r="AR57" s="407"/>
      <c r="AS57" s="539"/>
      <c r="AT57" s="539"/>
      <c r="AU57" s="539"/>
      <c r="AV57" s="539"/>
      <c r="AW57" s="539"/>
      <c r="AX57" s="539"/>
      <c r="AY57" s="539"/>
      <c r="AZ57" s="408"/>
    </row>
    <row r="58" spans="2:52" ht="13.2" customHeight="1">
      <c r="B58" s="60"/>
      <c r="C58" s="91"/>
      <c r="D58" s="874" t="s">
        <v>1332</v>
      </c>
      <c r="E58" s="874"/>
      <c r="F58" s="874"/>
      <c r="G58" s="874"/>
      <c r="H58" s="61"/>
      <c r="I58" s="82" t="s">
        <v>12</v>
      </c>
      <c r="J58" s="874" t="s">
        <v>776</v>
      </c>
      <c r="K58" s="874"/>
      <c r="L58" s="874"/>
      <c r="M58" s="874"/>
      <c r="N58" s="874"/>
      <c r="O58" s="874"/>
      <c r="P58" s="874"/>
      <c r="Q58" s="972" t="str">
        <f>IF(ISERROR(VLOOKUP(J58,daten!$G$2:$H$141,2,FALSE)),"",VLOOKUP(J58,daten!$G$2:$H$141,2,FALSE))</f>
        <v>-</v>
      </c>
      <c r="R58" s="972"/>
      <c r="S58" s="972"/>
      <c r="T58" s="972"/>
      <c r="U58" s="61"/>
      <c r="V58" s="61"/>
      <c r="W58" s="82" t="s">
        <v>41</v>
      </c>
      <c r="X58" s="871"/>
      <c r="Y58" s="871"/>
      <c r="AA58" s="1207" t="s">
        <v>1237</v>
      </c>
      <c r="AB58" s="1207"/>
      <c r="AC58" s="1207"/>
      <c r="AE58" s="56" t="s">
        <v>1296</v>
      </c>
      <c r="AF58" s="840"/>
      <c r="AG58" s="83"/>
      <c r="AH58" s="62"/>
      <c r="AR58" s="407" t="str">
        <f>J58</f>
        <v>&lt;Hopfensorte wählen&gt;</v>
      </c>
      <c r="AS58" s="541">
        <f>J59</f>
        <v>0</v>
      </c>
      <c r="AT58" s="539" t="str">
        <f>IF(AF58="J","x","")</f>
        <v/>
      </c>
      <c r="AU58" s="539"/>
      <c r="AV58" s="539"/>
      <c r="AW58" s="539"/>
      <c r="AX58" s="539"/>
      <c r="AY58" s="539"/>
      <c r="AZ58" s="408"/>
    </row>
    <row r="59" spans="2:52" ht="13.2" customHeight="1">
      <c r="B59" s="60"/>
      <c r="C59" s="91"/>
      <c r="D59" s="973" t="s">
        <v>44</v>
      </c>
      <c r="E59" s="973"/>
      <c r="F59" s="974"/>
      <c r="G59" s="974"/>
      <c r="H59" s="595" t="s">
        <v>1148</v>
      </c>
      <c r="I59" s="596"/>
      <c r="J59" s="994">
        <f>IF(ISBLANK(F59*$P$11),"",F59*$P$11)</f>
        <v>0</v>
      </c>
      <c r="K59" s="994"/>
      <c r="L59" s="597" t="s">
        <v>13</v>
      </c>
      <c r="N59" s="56" t="s">
        <v>1299</v>
      </c>
      <c r="O59" s="1208" t="s">
        <v>214</v>
      </c>
      <c r="P59" s="1208"/>
      <c r="Q59" s="1208"/>
      <c r="R59" s="1208"/>
      <c r="S59" s="1208"/>
      <c r="T59" s="1208"/>
      <c r="W59" s="82" t="s">
        <v>42</v>
      </c>
      <c r="X59" s="995"/>
      <c r="Y59" s="995"/>
      <c r="Z59" s="594" t="s">
        <v>814</v>
      </c>
      <c r="AA59" s="594"/>
      <c r="AB59" s="829" t="s">
        <v>242</v>
      </c>
      <c r="AC59" s="951" t="str">
        <f>IF(ISERROR(IF(AF58="X",AS59-(AS59*10%),AS59)),"",IF(AF58="X",AS59-(AS59*10%),AS59))</f>
        <v/>
      </c>
      <c r="AD59" s="951"/>
      <c r="AE59" s="61" t="s">
        <v>29</v>
      </c>
      <c r="AF59" s="61"/>
      <c r="AG59" s="83"/>
      <c r="AH59" s="62"/>
      <c r="AR59" s="407">
        <f>X59/1440</f>
        <v>0</v>
      </c>
      <c r="AS59" s="539" t="e">
        <f>(1000*J59*X58%/$P$11)*($AV$52*(1-EXP(-0.04*(X59+$X$70)))/4.15%*(1+COUNTA(AX59:AY59)/10))%/1</f>
        <v>#DIV/0!</v>
      </c>
      <c r="AT59" s="539" t="str">
        <f>IF(F59&gt;0,"j","n")</f>
        <v>n</v>
      </c>
      <c r="AU59" s="539" t="str">
        <f>IF(F59="","",CONCATENATE(J58,", "))</f>
        <v/>
      </c>
      <c r="AV59" s="539"/>
      <c r="AW59" s="539"/>
      <c r="AX59" s="539" t="str">
        <f>IF(AA58="Pellets","x","")</f>
        <v/>
      </c>
      <c r="AY59" s="539" t="str">
        <f>IF(O59="nach Würzebruch","x","")</f>
        <v/>
      </c>
      <c r="AZ59" s="408"/>
    </row>
    <row r="60" spans="2:52" ht="2.4" customHeight="1">
      <c r="B60" s="60"/>
      <c r="C60" s="91"/>
      <c r="D60" s="61"/>
      <c r="E60" s="61"/>
      <c r="F60" s="61"/>
      <c r="G60" s="61"/>
      <c r="H60" s="61"/>
      <c r="I60" s="61"/>
      <c r="J60" s="82"/>
      <c r="K60" s="81"/>
      <c r="L60" s="81"/>
      <c r="M60" s="81"/>
      <c r="N60" s="81"/>
      <c r="O60" s="81"/>
      <c r="P60" s="61"/>
      <c r="Q60" s="61"/>
      <c r="R60" s="61"/>
      <c r="S60" s="61"/>
      <c r="T60" s="61"/>
      <c r="U60" s="61"/>
      <c r="V60" s="61"/>
      <c r="W60" s="61"/>
      <c r="X60" s="82"/>
      <c r="Y60" s="557"/>
      <c r="Z60" s="61"/>
      <c r="AA60" s="61"/>
      <c r="AB60" s="61"/>
      <c r="AC60" s="72"/>
      <c r="AD60" s="178"/>
      <c r="AE60" s="178"/>
      <c r="AF60" s="72"/>
      <c r="AG60" s="83"/>
      <c r="AH60" s="62"/>
      <c r="AR60" s="407"/>
      <c r="AS60" s="541"/>
      <c r="AT60" s="539"/>
      <c r="AU60" s="539"/>
      <c r="AV60" s="539"/>
      <c r="AW60" s="539" t="s">
        <v>32</v>
      </c>
      <c r="AX60" s="539"/>
      <c r="AY60" s="539"/>
      <c r="AZ60" s="408"/>
    </row>
    <row r="61" spans="2:52" ht="13.2" customHeight="1">
      <c r="B61" s="60"/>
      <c r="C61" s="91"/>
      <c r="D61" s="874" t="s">
        <v>1333</v>
      </c>
      <c r="E61" s="874"/>
      <c r="F61" s="874"/>
      <c r="G61" s="874"/>
      <c r="H61" s="61"/>
      <c r="I61" s="82" t="s">
        <v>12</v>
      </c>
      <c r="J61" s="874" t="s">
        <v>776</v>
      </c>
      <c r="K61" s="874"/>
      <c r="L61" s="874"/>
      <c r="M61" s="874"/>
      <c r="N61" s="874"/>
      <c r="O61" s="874"/>
      <c r="P61" s="874"/>
      <c r="Q61" s="972" t="str">
        <f>IF(ISERROR(VLOOKUP(J61,daten!$G$2:$H$141,2,FALSE)),"",VLOOKUP(J61,daten!$G$2:$H$141,2,FALSE))</f>
        <v>-</v>
      </c>
      <c r="R61" s="972"/>
      <c r="S61" s="972"/>
      <c r="T61" s="972"/>
      <c r="U61" s="61"/>
      <c r="V61" s="61"/>
      <c r="W61" s="82" t="s">
        <v>41</v>
      </c>
      <c r="X61" s="871"/>
      <c r="Y61" s="871"/>
      <c r="AA61" s="1207" t="s">
        <v>1237</v>
      </c>
      <c r="AB61" s="1207"/>
      <c r="AC61" s="1207"/>
      <c r="AE61" s="56" t="s">
        <v>1296</v>
      </c>
      <c r="AF61" s="840"/>
      <c r="AG61" s="83"/>
      <c r="AH61" s="62"/>
      <c r="AR61" s="407" t="str">
        <f>J61</f>
        <v>&lt;Hopfensorte wählen&gt;</v>
      </c>
      <c r="AS61" s="541">
        <f>J62</f>
        <v>0</v>
      </c>
      <c r="AT61" s="539" t="str">
        <f>IF(AF61="J","x","")</f>
        <v/>
      </c>
      <c r="AU61" s="539"/>
      <c r="AV61" s="539" t="s">
        <v>43</v>
      </c>
      <c r="AW61" s="539"/>
      <c r="AX61" s="539"/>
      <c r="AY61" s="539"/>
      <c r="AZ61" s="408"/>
    </row>
    <row r="62" spans="2:52" ht="13.2" customHeight="1">
      <c r="B62" s="60"/>
      <c r="C62" s="91"/>
      <c r="D62" s="973" t="s">
        <v>44</v>
      </c>
      <c r="E62" s="973"/>
      <c r="F62" s="974"/>
      <c r="G62" s="974"/>
      <c r="H62" s="595" t="s">
        <v>1148</v>
      </c>
      <c r="I62" s="596"/>
      <c r="J62" s="994">
        <f>IF(ISBLANK(F62*$P$11),"",F62*$P$11)</f>
        <v>0</v>
      </c>
      <c r="K62" s="994"/>
      <c r="L62" s="597" t="s">
        <v>13</v>
      </c>
      <c r="N62" s="56" t="s">
        <v>1299</v>
      </c>
      <c r="O62" s="1208" t="s">
        <v>214</v>
      </c>
      <c r="P62" s="1208"/>
      <c r="Q62" s="1208"/>
      <c r="R62" s="1208"/>
      <c r="S62" s="1208"/>
      <c r="T62" s="1208"/>
      <c r="W62" s="82" t="s">
        <v>42</v>
      </c>
      <c r="X62" s="995"/>
      <c r="Y62" s="995"/>
      <c r="Z62" s="594" t="s">
        <v>814</v>
      </c>
      <c r="AA62" s="594"/>
      <c r="AB62" s="829" t="s">
        <v>242</v>
      </c>
      <c r="AC62" s="951" t="str">
        <f>IF(ISERROR(IF(AF61="X",AS62-(AS62*10%),AS62)),"",IF(AF61="X",AS62-(AS62*10%),AS62))</f>
        <v/>
      </c>
      <c r="AD62" s="951"/>
      <c r="AE62" s="61" t="s">
        <v>29</v>
      </c>
      <c r="AF62" s="61"/>
      <c r="AG62" s="83"/>
      <c r="AH62" s="62"/>
      <c r="AJ62" s="609"/>
      <c r="AR62" s="407">
        <f>X62/1440</f>
        <v>0</v>
      </c>
      <c r="AS62" s="539" t="e">
        <f>(1000*J62*X61%/$P$11)*($AV$52*(1-EXP(-0.04*(X62+$X$70)))/4.15%*(1+COUNTA(AX62:AY62)/10))%/1</f>
        <v>#DIV/0!</v>
      </c>
      <c r="AT62" s="539" t="str">
        <f>IF(F62&gt;0,"j","n")</f>
        <v>n</v>
      </c>
      <c r="AU62" s="539" t="str">
        <f>IF(F62="","",CONCATENATE(J61,", "))</f>
        <v/>
      </c>
      <c r="AV62" s="539"/>
      <c r="AW62" s="539"/>
      <c r="AX62" s="539" t="str">
        <f>IF(AA61="Pellets","x","")</f>
        <v/>
      </c>
      <c r="AY62" s="539" t="str">
        <f>IF(O62="nach Würzebruch","x","")</f>
        <v/>
      </c>
      <c r="AZ62" s="408"/>
    </row>
    <row r="63" spans="2:52" ht="1.8" customHeight="1">
      <c r="B63" s="60"/>
      <c r="C63" s="91"/>
      <c r="D63" s="61"/>
      <c r="E63" s="61"/>
      <c r="F63" s="61"/>
      <c r="G63" s="61"/>
      <c r="H63" s="61"/>
      <c r="I63" s="61"/>
      <c r="J63" s="82"/>
      <c r="K63" s="81"/>
      <c r="L63" s="81"/>
      <c r="M63" s="81"/>
      <c r="N63" s="81"/>
      <c r="O63" s="81"/>
      <c r="P63" s="61"/>
      <c r="Q63" s="61"/>
      <c r="R63" s="61"/>
      <c r="S63" s="61"/>
      <c r="T63" s="61"/>
      <c r="U63" s="61"/>
      <c r="V63" s="61"/>
      <c r="W63" s="61"/>
      <c r="X63" s="82"/>
      <c r="Y63" s="557"/>
      <c r="Z63" s="61"/>
      <c r="AA63" s="61"/>
      <c r="AB63" s="61"/>
      <c r="AC63" s="72"/>
      <c r="AD63" s="178"/>
      <c r="AE63" s="178"/>
      <c r="AF63" s="72"/>
      <c r="AG63" s="83"/>
      <c r="AH63" s="62"/>
      <c r="AR63" s="407"/>
      <c r="AS63" s="539"/>
      <c r="AT63" s="539"/>
      <c r="AU63" s="539"/>
      <c r="AV63" s="539"/>
      <c r="AW63" s="539"/>
      <c r="AX63" s="539"/>
      <c r="AY63" s="539"/>
      <c r="AZ63" s="408"/>
    </row>
    <row r="64" spans="2:52" ht="13.2" customHeight="1">
      <c r="B64" s="60"/>
      <c r="C64" s="91"/>
      <c r="D64" s="874" t="s">
        <v>1334</v>
      </c>
      <c r="E64" s="874"/>
      <c r="F64" s="874"/>
      <c r="G64" s="874"/>
      <c r="H64" s="61"/>
      <c r="I64" s="82" t="s">
        <v>12</v>
      </c>
      <c r="J64" s="874" t="s">
        <v>776</v>
      </c>
      <c r="K64" s="874"/>
      <c r="L64" s="874"/>
      <c r="M64" s="874"/>
      <c r="N64" s="874"/>
      <c r="O64" s="874"/>
      <c r="P64" s="874"/>
      <c r="Q64" s="972" t="str">
        <f>IF(ISERROR(VLOOKUP(J64,daten!$G$2:$H$141,2,FALSE)),"",VLOOKUP(J64,daten!$G$2:$H$141,2,FALSE))</f>
        <v>-</v>
      </c>
      <c r="R64" s="972"/>
      <c r="S64" s="972"/>
      <c r="T64" s="972"/>
      <c r="U64" s="61"/>
      <c r="V64" s="61"/>
      <c r="W64" s="82" t="s">
        <v>41</v>
      </c>
      <c r="X64" s="871"/>
      <c r="Y64" s="871"/>
      <c r="AA64" s="1207" t="s">
        <v>1237</v>
      </c>
      <c r="AB64" s="1207"/>
      <c r="AC64" s="1207"/>
      <c r="AE64" s="56" t="s">
        <v>1296</v>
      </c>
      <c r="AF64" s="840"/>
      <c r="AG64" s="83"/>
      <c r="AH64" s="62"/>
      <c r="AR64" s="407" t="str">
        <f>J64</f>
        <v>&lt;Hopfensorte wählen&gt;</v>
      </c>
      <c r="AS64" s="541">
        <f>J65</f>
        <v>0</v>
      </c>
      <c r="AT64" s="539" t="str">
        <f>IF(AF64="J","x","")</f>
        <v/>
      </c>
      <c r="AU64" s="539"/>
      <c r="AV64" s="539" t="s">
        <v>43</v>
      </c>
      <c r="AW64" s="539"/>
      <c r="AX64" s="539"/>
      <c r="AY64" s="539"/>
      <c r="AZ64" s="408"/>
    </row>
    <row r="65" spans="2:52" ht="13.2" customHeight="1">
      <c r="B65" s="60"/>
      <c r="C65" s="91"/>
      <c r="D65" s="973" t="s">
        <v>44</v>
      </c>
      <c r="E65" s="973"/>
      <c r="F65" s="974"/>
      <c r="G65" s="974"/>
      <c r="H65" s="595" t="s">
        <v>1148</v>
      </c>
      <c r="I65" s="596"/>
      <c r="J65" s="994">
        <f>IF(ISBLANK(F65*$P$11),"",F65*$P$11)</f>
        <v>0</v>
      </c>
      <c r="K65" s="994"/>
      <c r="L65" s="597" t="s">
        <v>13</v>
      </c>
      <c r="N65" s="56" t="s">
        <v>1299</v>
      </c>
      <c r="O65" s="1208" t="s">
        <v>214</v>
      </c>
      <c r="P65" s="1208"/>
      <c r="Q65" s="1208"/>
      <c r="R65" s="1208"/>
      <c r="S65" s="1208"/>
      <c r="T65" s="1208"/>
      <c r="W65" s="82" t="s">
        <v>42</v>
      </c>
      <c r="X65" s="995"/>
      <c r="Y65" s="995"/>
      <c r="Z65" s="594" t="s">
        <v>814</v>
      </c>
      <c r="AA65" s="594"/>
      <c r="AB65" s="829" t="s">
        <v>242</v>
      </c>
      <c r="AC65" s="951" t="str">
        <f>IF(ISERROR(IF(AF64="X",AS65-(AS65*10%),AS65)),"",IF(AF64="X",AS65-(AS65*10%),AS65))</f>
        <v/>
      </c>
      <c r="AD65" s="951"/>
      <c r="AE65" s="61" t="s">
        <v>29</v>
      </c>
      <c r="AF65" s="61"/>
      <c r="AG65" s="83"/>
      <c r="AH65" s="62"/>
      <c r="AR65" s="407">
        <f>X65/1440</f>
        <v>0</v>
      </c>
      <c r="AS65" s="539" t="e">
        <f>(1000*J65*X64%/$P$11)*($AV$52*(1-EXP(-0.04*(X65+$X$70)))/4.15%*(1+COUNTA(AX65:AY65)/10))%/1</f>
        <v>#DIV/0!</v>
      </c>
      <c r="AT65" s="539" t="str">
        <f>IF(F65&gt;0,"j","n")</f>
        <v>n</v>
      </c>
      <c r="AU65" s="539" t="str">
        <f>IF(F65="","",CONCATENATE(J64,", "))</f>
        <v/>
      </c>
      <c r="AV65" s="539"/>
      <c r="AW65" s="539"/>
      <c r="AX65" s="539" t="str">
        <f>IF(AA64="Pellets","x","")</f>
        <v/>
      </c>
      <c r="AY65" s="539" t="str">
        <f>IF(O65="nach Würzebruch","x","")</f>
        <v/>
      </c>
      <c r="AZ65" s="408"/>
    </row>
    <row r="66" spans="2:52" ht="1.8" customHeight="1">
      <c r="B66" s="60"/>
      <c r="C66" s="91"/>
      <c r="D66" s="804"/>
      <c r="E66" s="807"/>
      <c r="F66" s="807"/>
      <c r="G66" s="824"/>
      <c r="H66" s="824"/>
      <c r="I66" s="824"/>
      <c r="J66" s="807"/>
      <c r="K66" s="807"/>
      <c r="L66" s="807"/>
      <c r="M66" s="825"/>
      <c r="N66" s="825"/>
      <c r="O66" s="825"/>
      <c r="P66" s="825"/>
      <c r="Q66" s="804"/>
      <c r="R66" s="804"/>
      <c r="S66" s="804"/>
      <c r="T66" s="804"/>
      <c r="U66" s="804"/>
      <c r="V66" s="804"/>
      <c r="W66" s="804"/>
      <c r="X66" s="807"/>
      <c r="Y66" s="826"/>
      <c r="Z66" s="804"/>
      <c r="AA66" s="804"/>
      <c r="AB66" s="804"/>
      <c r="AC66" s="827"/>
      <c r="AD66" s="828"/>
      <c r="AE66" s="828"/>
      <c r="AF66" s="827"/>
      <c r="AG66" s="83"/>
      <c r="AH66" s="62"/>
      <c r="AR66" s="407"/>
      <c r="AS66" s="539"/>
      <c r="AT66" s="539"/>
      <c r="AU66" s="539"/>
      <c r="AV66" s="539"/>
      <c r="AW66" s="539"/>
      <c r="AX66" s="539"/>
      <c r="AY66" s="539"/>
      <c r="AZ66" s="408"/>
    </row>
    <row r="67" spans="2:52" ht="13.2" customHeight="1">
      <c r="B67" s="60"/>
      <c r="C67" s="91"/>
      <c r="D67" s="874" t="s">
        <v>1335</v>
      </c>
      <c r="E67" s="874"/>
      <c r="F67" s="874"/>
      <c r="G67" s="874"/>
      <c r="H67" s="61"/>
      <c r="I67" s="82" t="s">
        <v>12</v>
      </c>
      <c r="J67" s="874" t="s">
        <v>776</v>
      </c>
      <c r="K67" s="874"/>
      <c r="L67" s="874"/>
      <c r="M67" s="874"/>
      <c r="N67" s="874"/>
      <c r="O67" s="874"/>
      <c r="P67" s="874"/>
      <c r="Q67" s="972" t="str">
        <f>IF(ISERROR(VLOOKUP(J67,daten!$G$2:$H$141,2,FALSE)),"",VLOOKUP(J67,daten!$G$2:$H$141,2,FALSE))</f>
        <v>-</v>
      </c>
      <c r="R67" s="972"/>
      <c r="S67" s="972"/>
      <c r="T67" s="972"/>
      <c r="U67" s="61"/>
      <c r="V67" s="61"/>
      <c r="W67" s="82" t="s">
        <v>41</v>
      </c>
      <c r="X67" s="871"/>
      <c r="Y67" s="871"/>
      <c r="AA67" s="1207" t="s">
        <v>1237</v>
      </c>
      <c r="AB67" s="1207"/>
      <c r="AC67" s="1207"/>
      <c r="AE67" s="56" t="s">
        <v>1296</v>
      </c>
      <c r="AF67" s="840"/>
      <c r="AG67" s="83"/>
      <c r="AH67" s="62"/>
      <c r="AR67" s="407" t="str">
        <f>J67</f>
        <v>&lt;Hopfensorte wählen&gt;</v>
      </c>
      <c r="AS67" s="541">
        <f>J68</f>
        <v>0</v>
      </c>
      <c r="AT67" s="539" t="str">
        <f>IF(AF67="J","x","")</f>
        <v/>
      </c>
      <c r="AU67" s="539"/>
      <c r="AV67" s="539" t="s">
        <v>43</v>
      </c>
      <c r="AW67" s="539"/>
      <c r="AX67" s="539"/>
      <c r="AY67" s="539"/>
      <c r="AZ67" s="408"/>
    </row>
    <row r="68" spans="2:52" ht="13.2" customHeight="1">
      <c r="B68" s="60"/>
      <c r="C68" s="91"/>
      <c r="D68" s="973" t="s">
        <v>44</v>
      </c>
      <c r="E68" s="973"/>
      <c r="F68" s="974"/>
      <c r="G68" s="974"/>
      <c r="H68" s="595" t="s">
        <v>1148</v>
      </c>
      <c r="I68" s="596"/>
      <c r="J68" s="994">
        <f>IF(ISBLANK(F68*$P$11),"",F68*$P$11)</f>
        <v>0</v>
      </c>
      <c r="K68" s="994"/>
      <c r="L68" s="597" t="s">
        <v>13</v>
      </c>
      <c r="N68" s="56" t="s">
        <v>1299</v>
      </c>
      <c r="O68" s="1208" t="s">
        <v>214</v>
      </c>
      <c r="P68" s="1208"/>
      <c r="Q68" s="1208"/>
      <c r="R68" s="1208"/>
      <c r="S68" s="1208"/>
      <c r="T68" s="1208"/>
      <c r="W68" s="82" t="s">
        <v>42</v>
      </c>
      <c r="X68" s="995"/>
      <c r="Y68" s="995"/>
      <c r="Z68" s="594" t="s">
        <v>814</v>
      </c>
      <c r="AA68" s="594"/>
      <c r="AB68" s="829" t="s">
        <v>242</v>
      </c>
      <c r="AC68" s="951" t="str">
        <f>IF(ISERROR(IF(AF67="X",AS68-(AS68*10%),AS68)),"",IF(AF67="X",AS68-(AS68*10%),AS68))</f>
        <v/>
      </c>
      <c r="AD68" s="951"/>
      <c r="AE68" s="61" t="s">
        <v>29</v>
      </c>
      <c r="AF68" s="61"/>
      <c r="AG68" s="83"/>
      <c r="AH68" s="62"/>
      <c r="AJ68" s="609"/>
      <c r="AR68" s="407">
        <f>X68/1440</f>
        <v>0</v>
      </c>
      <c r="AS68" s="539" t="e">
        <f>(1000*J68*X67%/$P$11)*($AV$52*(1-EXP(-0.04*(X68+$X$70)))/4.15%*(1+COUNTA(AX68:AY68)/10))%/1</f>
        <v>#DIV/0!</v>
      </c>
      <c r="AT68" s="539" t="str">
        <f>IF(F68&gt;0,"j","n")</f>
        <v>n</v>
      </c>
      <c r="AU68" s="539" t="str">
        <f>IF(F68="","",CONCATENATE(J67,", "))</f>
        <v/>
      </c>
      <c r="AV68" s="539"/>
      <c r="AW68" s="539"/>
      <c r="AX68" s="539" t="str">
        <f>IF(AA67="Pellets","x","")</f>
        <v/>
      </c>
      <c r="AY68" s="539" t="str">
        <f>IF(O68="nach Würzebruch","x","")</f>
        <v/>
      </c>
      <c r="AZ68" s="408"/>
    </row>
    <row r="69" spans="2:52" ht="2.4" customHeight="1">
      <c r="B69" s="60"/>
      <c r="C69" s="91"/>
      <c r="D69" s="61"/>
      <c r="E69" s="82"/>
      <c r="F69" s="82"/>
      <c r="G69" s="559"/>
      <c r="H69" s="559"/>
      <c r="I69" s="559"/>
      <c r="J69" s="82"/>
      <c r="K69" s="82"/>
      <c r="L69" s="82"/>
      <c r="M69" s="81"/>
      <c r="N69" s="81"/>
      <c r="O69" s="81"/>
      <c r="P69" s="81"/>
      <c r="Q69" s="61"/>
      <c r="R69" s="61"/>
      <c r="S69" s="61"/>
      <c r="T69" s="61"/>
      <c r="U69" s="61"/>
      <c r="V69" s="61"/>
      <c r="W69" s="61"/>
      <c r="X69" s="82"/>
      <c r="Y69" s="557"/>
      <c r="Z69" s="61"/>
      <c r="AA69" s="61"/>
      <c r="AB69" s="61"/>
      <c r="AC69" s="72"/>
      <c r="AD69" s="178"/>
      <c r="AE69" s="178"/>
      <c r="AF69" s="72"/>
      <c r="AG69" s="83"/>
      <c r="AH69" s="62"/>
      <c r="AR69" s="407"/>
      <c r="AS69" s="539"/>
      <c r="AT69" s="539"/>
      <c r="AU69" s="539"/>
      <c r="AV69" s="539"/>
      <c r="AW69" s="539"/>
      <c r="AX69" s="539"/>
      <c r="AY69" s="539"/>
      <c r="AZ69" s="408"/>
    </row>
    <row r="70" spans="2:52" ht="13.2" customHeight="1">
      <c r="B70" s="60"/>
      <c r="C70" s="91"/>
      <c r="D70" s="61"/>
      <c r="E70" s="61"/>
      <c r="F70" s="61"/>
      <c r="G70" s="61"/>
      <c r="H70" s="61"/>
      <c r="I70" s="61"/>
      <c r="J70" s="61"/>
      <c r="K70" s="61"/>
      <c r="L70" s="61"/>
      <c r="M70" s="61"/>
      <c r="N70" s="61"/>
      <c r="O70" s="61"/>
      <c r="P70" s="61"/>
      <c r="Q70" s="61"/>
      <c r="R70" s="61"/>
      <c r="S70" s="61"/>
      <c r="T70" s="61"/>
      <c r="U70" s="61"/>
      <c r="V70" s="82"/>
      <c r="W70" s="82" t="s">
        <v>45</v>
      </c>
      <c r="X70" s="957"/>
      <c r="Y70" s="957"/>
      <c r="Z70" s="594" t="s">
        <v>814</v>
      </c>
      <c r="AA70" s="61"/>
      <c r="AB70" s="61"/>
      <c r="AC70" s="399" t="s">
        <v>47</v>
      </c>
      <c r="AD70" s="876" t="str">
        <f>IF(ISERROR(AC56+AC59+AC62+AC65+AC68),"",AC56+AC59+AC62+AC65+AC68)</f>
        <v/>
      </c>
      <c r="AE70" s="876"/>
      <c r="AF70" s="289" t="s">
        <v>29</v>
      </c>
      <c r="AG70" s="83"/>
      <c r="AH70" s="62"/>
      <c r="AR70" s="407">
        <f>X70/1440</f>
        <v>0</v>
      </c>
      <c r="AS70" s="539"/>
      <c r="AT70" s="539"/>
      <c r="AU70" s="539"/>
      <c r="AV70" s="539"/>
      <c r="AW70" s="539"/>
      <c r="AX70" s="539"/>
      <c r="AY70" s="539"/>
      <c r="AZ70" s="408"/>
    </row>
    <row r="71" spans="2:52" ht="2.4" customHeight="1">
      <c r="B71" s="60"/>
      <c r="C71" s="85"/>
      <c r="D71" s="80"/>
      <c r="E71" s="86"/>
      <c r="F71" s="86"/>
      <c r="G71" s="558"/>
      <c r="H71" s="558"/>
      <c r="I71" s="558"/>
      <c r="J71" s="86"/>
      <c r="K71" s="86"/>
      <c r="L71" s="86"/>
      <c r="M71" s="97"/>
      <c r="N71" s="97"/>
      <c r="O71" s="97"/>
      <c r="P71" s="97"/>
      <c r="Q71" s="80"/>
      <c r="R71" s="80"/>
      <c r="S71" s="80"/>
      <c r="T71" s="80"/>
      <c r="U71" s="80"/>
      <c r="V71" s="80"/>
      <c r="W71" s="80"/>
      <c r="X71" s="86"/>
      <c r="Y71" s="556"/>
      <c r="Z71" s="80"/>
      <c r="AA71" s="80"/>
      <c r="AB71" s="80"/>
      <c r="AC71" s="202"/>
      <c r="AD71" s="203"/>
      <c r="AE71" s="203"/>
      <c r="AF71" s="202"/>
      <c r="AG71" s="87"/>
      <c r="AH71" s="62"/>
      <c r="AR71" s="407"/>
      <c r="AS71" s="541"/>
      <c r="AT71" s="539"/>
      <c r="AU71" s="539"/>
      <c r="AV71" s="539"/>
      <c r="AW71" s="539"/>
      <c r="AX71" s="539"/>
      <c r="AY71" s="539"/>
      <c r="AZ71" s="408"/>
    </row>
    <row r="72" spans="2:52" ht="4.2" customHeight="1">
      <c r="B72" s="60"/>
      <c r="C72" s="61"/>
      <c r="D72" s="61"/>
      <c r="E72" s="82"/>
      <c r="F72" s="82"/>
      <c r="G72" s="559"/>
      <c r="H72" s="559"/>
      <c r="I72" s="559"/>
      <c r="J72" s="82"/>
      <c r="K72" s="82"/>
      <c r="L72" s="82"/>
      <c r="M72" s="81"/>
      <c r="N72" s="81"/>
      <c r="O72" s="81"/>
      <c r="P72" s="81"/>
      <c r="Q72" s="61"/>
      <c r="R72" s="61"/>
      <c r="S72" s="61"/>
      <c r="T72" s="61"/>
      <c r="U72" s="61"/>
      <c r="V72" s="61"/>
      <c r="W72" s="61"/>
      <c r="X72" s="82"/>
      <c r="Y72" s="557"/>
      <c r="Z72" s="61"/>
      <c r="AA72" s="61"/>
      <c r="AB72" s="61"/>
      <c r="AC72" s="72"/>
      <c r="AD72" s="178"/>
      <c r="AE72" s="178"/>
      <c r="AF72" s="72"/>
      <c r="AG72" s="61"/>
      <c r="AH72" s="62"/>
      <c r="AR72" s="407"/>
      <c r="AS72" s="539"/>
      <c r="AT72" s="539"/>
      <c r="AU72" s="539"/>
      <c r="AV72" s="539"/>
      <c r="AW72" s="539"/>
      <c r="AX72" s="539"/>
      <c r="AY72" s="539"/>
      <c r="AZ72" s="408"/>
    </row>
    <row r="73" spans="2:52" ht="1.8" customHeight="1">
      <c r="B73" s="60"/>
      <c r="C73" s="177"/>
      <c r="D73" s="164"/>
      <c r="E73" s="164"/>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76"/>
      <c r="AH73" s="62"/>
      <c r="AJ73" s="404">
        <f>U70</f>
        <v>0</v>
      </c>
      <c r="AR73" s="407"/>
      <c r="AS73" s="539"/>
      <c r="AT73" s="539"/>
      <c r="AU73" s="539"/>
      <c r="AV73" s="539"/>
      <c r="AW73" s="539"/>
      <c r="AX73" s="539"/>
      <c r="AY73" s="539"/>
      <c r="AZ73" s="408"/>
    </row>
    <row r="74" spans="2:52" ht="13.2" customHeight="1">
      <c r="B74" s="60"/>
      <c r="C74" s="175"/>
      <c r="D74" s="174" t="s">
        <v>224</v>
      </c>
      <c r="K74" s="56" t="s">
        <v>856</v>
      </c>
      <c r="L74" s="950" t="s">
        <v>214</v>
      </c>
      <c r="M74" s="950"/>
      <c r="N74" s="950"/>
      <c r="O74" s="950"/>
      <c r="P74" s="166" t="s">
        <v>80</v>
      </c>
      <c r="Q74" s="166"/>
      <c r="R74" s="608"/>
      <c r="S74" s="56" t="s">
        <v>223</v>
      </c>
      <c r="T74" s="874"/>
      <c r="U74" s="874"/>
      <c r="V74" s="874"/>
      <c r="W74" s="874"/>
      <c r="X74" s="874"/>
      <c r="Y74" s="874"/>
      <c r="Z74" s="874"/>
      <c r="AA74" s="874"/>
      <c r="AB74" s="874"/>
      <c r="AC74" s="874"/>
      <c r="AD74" s="874"/>
      <c r="AE74" s="874"/>
      <c r="AF74" s="874"/>
      <c r="AG74" s="173"/>
      <c r="AH74" s="62"/>
      <c r="AR74" s="407"/>
      <c r="AS74" s="539"/>
      <c r="AT74" s="539"/>
      <c r="AU74" s="539"/>
      <c r="AV74" s="539"/>
      <c r="AW74" s="539"/>
      <c r="AX74" s="539"/>
      <c r="AY74" s="539"/>
      <c r="AZ74" s="408"/>
    </row>
    <row r="75" spans="2:52" ht="2.4" customHeight="1">
      <c r="B75" s="60"/>
      <c r="C75" s="172"/>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8"/>
      <c r="AH75" s="62"/>
      <c r="AR75" s="407"/>
      <c r="AS75" s="539"/>
      <c r="AT75" s="539"/>
      <c r="AU75" s="539"/>
      <c r="AV75" s="539"/>
      <c r="AW75" s="539"/>
      <c r="AX75" s="539"/>
      <c r="AY75" s="539"/>
      <c r="AZ75" s="408"/>
    </row>
    <row r="76" spans="2:52" ht="4.8" customHeight="1">
      <c r="B76" s="60"/>
      <c r="C76" s="61"/>
      <c r="D76" s="61"/>
      <c r="E76" s="82"/>
      <c r="F76" s="82"/>
      <c r="G76" s="559"/>
      <c r="H76" s="559"/>
      <c r="I76" s="559"/>
      <c r="J76" s="82"/>
      <c r="K76" s="82"/>
      <c r="L76" s="82"/>
      <c r="M76" s="81"/>
      <c r="N76" s="81"/>
      <c r="O76" s="81"/>
      <c r="P76" s="81"/>
      <c r="Q76" s="61"/>
      <c r="R76" s="61"/>
      <c r="S76" s="61"/>
      <c r="T76" s="61"/>
      <c r="U76" s="61"/>
      <c r="V76" s="61"/>
      <c r="W76" s="61"/>
      <c r="X76" s="82"/>
      <c r="Y76" s="557"/>
      <c r="Z76" s="61"/>
      <c r="AA76" s="61"/>
      <c r="AB76" s="61"/>
      <c r="AC76" s="72"/>
      <c r="AD76" s="178"/>
      <c r="AE76" s="178"/>
      <c r="AF76" s="72"/>
      <c r="AG76" s="61"/>
      <c r="AH76" s="62"/>
      <c r="AR76" s="407"/>
      <c r="AS76" s="539"/>
      <c r="AT76" s="539"/>
      <c r="AU76" s="539"/>
      <c r="AV76" s="539"/>
      <c r="AW76" s="539"/>
      <c r="AX76" s="539"/>
      <c r="AY76" s="539"/>
      <c r="AZ76" s="408"/>
    </row>
    <row r="77" spans="2:52" ht="2.4" customHeight="1">
      <c r="B77" s="60"/>
      <c r="C77" s="177"/>
      <c r="D77" s="164"/>
      <c r="E77" s="164"/>
      <c r="F77" s="164"/>
      <c r="G77" s="164"/>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76"/>
      <c r="AH77" s="62"/>
      <c r="AR77" s="407"/>
      <c r="AS77" s="539"/>
      <c r="AT77" s="539"/>
      <c r="AU77" s="539"/>
      <c r="AV77" s="539"/>
      <c r="AW77" s="539"/>
      <c r="AX77" s="539"/>
      <c r="AY77" s="539"/>
      <c r="AZ77" s="408"/>
    </row>
    <row r="78" spans="2:52" ht="13.2" customHeight="1">
      <c r="B78" s="60"/>
      <c r="C78" s="175"/>
      <c r="D78" s="174" t="s">
        <v>290</v>
      </c>
      <c r="L78" s="958"/>
      <c r="M78" s="958"/>
      <c r="N78" s="610" t="s">
        <v>816</v>
      </c>
      <c r="O78" s="611" t="s">
        <v>298</v>
      </c>
      <c r="P78" s="956">
        <f>IF(ISBLANK(L78*$P$11),"",L78*$P$11)</f>
        <v>0</v>
      </c>
      <c r="Q78" s="956"/>
      <c r="R78" s="612" t="s">
        <v>13</v>
      </c>
      <c r="S78" s="613"/>
      <c r="T78" s="614" t="s">
        <v>12</v>
      </c>
      <c r="U78" s="874" t="s">
        <v>776</v>
      </c>
      <c r="V78" s="874"/>
      <c r="W78" s="874"/>
      <c r="X78" s="874"/>
      <c r="Y78" s="874"/>
      <c r="Z78" s="874"/>
      <c r="AA78" s="874"/>
      <c r="AB78" s="182"/>
      <c r="AC78" s="182"/>
      <c r="AD78" s="615" t="s">
        <v>41</v>
      </c>
      <c r="AE78" s="959"/>
      <c r="AF78" s="959"/>
      <c r="AG78" s="173"/>
      <c r="AH78" s="62"/>
      <c r="AR78" s="407" t="str">
        <f>U78</f>
        <v>&lt;Hopfensorte wählen&gt;</v>
      </c>
      <c r="AS78" s="542">
        <f>P78</f>
        <v>0</v>
      </c>
      <c r="AT78" s="539" t="str">
        <f>IF(L78&gt;0,"j","n")</f>
        <v>n</v>
      </c>
      <c r="AU78" s="539"/>
      <c r="AV78" s="539" t="str">
        <f>IF(L78="","",CONCATENATE(U78,", "))</f>
        <v/>
      </c>
      <c r="AW78" s="539" t="str">
        <f>IF(L79="","",CONCATENATE(U79,", "))</f>
        <v/>
      </c>
      <c r="AX78" s="539"/>
      <c r="AY78" s="539"/>
      <c r="AZ78" s="408"/>
    </row>
    <row r="79" spans="2:52" ht="13.2" customHeight="1">
      <c r="B79" s="60"/>
      <c r="C79" s="175"/>
      <c r="D79" s="971"/>
      <c r="E79" s="971"/>
      <c r="F79" s="235" t="s">
        <v>1242</v>
      </c>
      <c r="G79" s="235"/>
      <c r="H79" s="236" t="s">
        <v>11</v>
      </c>
      <c r="I79" s="970"/>
      <c r="J79" s="970"/>
      <c r="K79" s="235" t="s">
        <v>4</v>
      </c>
      <c r="L79" s="958"/>
      <c r="M79" s="958"/>
      <c r="N79" s="610" t="s">
        <v>816</v>
      </c>
      <c r="O79" s="611" t="s">
        <v>298</v>
      </c>
      <c r="P79" s="956">
        <f>L79*$P$11</f>
        <v>0</v>
      </c>
      <c r="Q79" s="956"/>
      <c r="R79" s="612" t="s">
        <v>13</v>
      </c>
      <c r="S79" s="616"/>
      <c r="T79" s="614" t="s">
        <v>12</v>
      </c>
      <c r="U79" s="874" t="s">
        <v>776</v>
      </c>
      <c r="V79" s="874"/>
      <c r="W79" s="874"/>
      <c r="X79" s="874"/>
      <c r="Y79" s="874"/>
      <c r="Z79" s="874"/>
      <c r="AA79" s="874"/>
      <c r="AB79" s="182"/>
      <c r="AC79" s="182"/>
      <c r="AD79" s="82" t="s">
        <v>41</v>
      </c>
      <c r="AE79" s="959"/>
      <c r="AF79" s="959"/>
      <c r="AG79" s="173"/>
      <c r="AH79" s="62"/>
      <c r="AR79" s="407" t="str">
        <f>U79</f>
        <v>&lt;Hopfensorte wählen&gt;</v>
      </c>
      <c r="AS79" s="542">
        <f>P79</f>
        <v>0</v>
      </c>
      <c r="AT79" s="802" t="str">
        <f>IF(L79&gt;0,"j","n")</f>
        <v>n</v>
      </c>
      <c r="AU79" s="539" t="str">
        <f>CONCATENATE(AT78,AT79)</f>
        <v>nn</v>
      </c>
      <c r="AV79" s="539" t="str">
        <f>IF(AU79="nn","","Kalthopfung: ")</f>
        <v/>
      </c>
      <c r="AW79" s="539"/>
      <c r="AX79" s="539"/>
      <c r="AY79" s="539"/>
      <c r="AZ79" s="408"/>
    </row>
    <row r="80" spans="2:52" ht="2.4" customHeight="1">
      <c r="B80" s="60"/>
      <c r="C80" s="172"/>
      <c r="D80" s="169"/>
      <c r="E80" s="169"/>
      <c r="F80" s="169"/>
      <c r="G80" s="169"/>
      <c r="H80" s="169"/>
      <c r="I80" s="169"/>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8"/>
      <c r="AH80" s="62"/>
      <c r="AR80" s="407"/>
      <c r="AS80" s="539"/>
      <c r="AT80" s="539"/>
      <c r="AU80" s="539"/>
      <c r="AV80" s="539"/>
      <c r="AW80" s="539"/>
      <c r="AX80" s="539"/>
      <c r="AY80" s="539"/>
      <c r="AZ80" s="408"/>
    </row>
    <row r="81" spans="2:52" ht="5.4" customHeight="1" thickBot="1">
      <c r="B81" s="99"/>
      <c r="C81" s="232"/>
      <c r="D81" s="232"/>
      <c r="E81" s="218"/>
      <c r="F81" s="218"/>
      <c r="G81" s="560"/>
      <c r="H81" s="560"/>
      <c r="I81" s="560"/>
      <c r="J81" s="218"/>
      <c r="K81" s="218"/>
      <c r="L81" s="218"/>
      <c r="M81" s="217"/>
      <c r="N81" s="217"/>
      <c r="O81" s="217"/>
      <c r="P81" s="217"/>
      <c r="Q81" s="232"/>
      <c r="R81" s="232"/>
      <c r="S81" s="232"/>
      <c r="T81" s="232"/>
      <c r="U81" s="232"/>
      <c r="V81" s="232"/>
      <c r="W81" s="232"/>
      <c r="X81" s="218"/>
      <c r="Y81" s="561"/>
      <c r="Z81" s="232"/>
      <c r="AA81" s="232"/>
      <c r="AB81" s="232"/>
      <c r="AC81" s="233"/>
      <c r="AD81" s="234"/>
      <c r="AE81" s="234"/>
      <c r="AF81" s="233"/>
      <c r="AG81" s="232"/>
      <c r="AH81" s="100"/>
      <c r="AR81" s="407" t="s">
        <v>214</v>
      </c>
      <c r="AS81" s="539" t="s">
        <v>839</v>
      </c>
      <c r="AT81" s="539" t="s">
        <v>840</v>
      </c>
      <c r="AU81" s="539" t="s">
        <v>845</v>
      </c>
      <c r="AV81" s="539"/>
      <c r="AW81" s="539"/>
      <c r="AX81" s="539"/>
      <c r="AY81" s="539"/>
      <c r="AZ81" s="408"/>
    </row>
    <row r="82" spans="2:52" ht="13.2" customHeight="1">
      <c r="AR82" s="410"/>
      <c r="AS82" s="411"/>
      <c r="AT82" s="237"/>
      <c r="AU82" s="237"/>
      <c r="AV82" s="237"/>
      <c r="AW82" s="237"/>
      <c r="AX82" s="237"/>
      <c r="AY82" s="237"/>
      <c r="AZ82" s="412"/>
    </row>
    <row r="83" spans="2:52" ht="13.2" customHeight="1"/>
    <row r="84" spans="2:52" ht="13.2" customHeight="1"/>
    <row r="85" spans="2:52" ht="13.2" customHeight="1">
      <c r="AJ85" s="405">
        <f>P78</f>
        <v>0</v>
      </c>
    </row>
    <row r="86" spans="2:52" ht="13.2" customHeight="1">
      <c r="AJ86" s="405">
        <f>P79</f>
        <v>0</v>
      </c>
    </row>
    <row r="87" spans="2:52" ht="13.2" customHeight="1"/>
    <row r="88" spans="2:52" ht="5.25" customHeight="1"/>
    <row r="89" spans="2:52" ht="15" hidden="1" customHeight="1">
      <c r="D89" s="486"/>
      <c r="E89" s="487"/>
      <c r="F89" s="487"/>
      <c r="G89" s="487"/>
      <c r="H89" s="487" t="s">
        <v>32</v>
      </c>
      <c r="I89" s="487" t="s">
        <v>1133</v>
      </c>
      <c r="J89" s="487" t="s">
        <v>40</v>
      </c>
      <c r="K89" s="488" t="s">
        <v>32</v>
      </c>
    </row>
    <row r="90" spans="2:52" ht="15" hidden="1" customHeight="1">
      <c r="D90" s="489"/>
      <c r="E90" s="490"/>
      <c r="F90" s="490"/>
      <c r="G90" s="490"/>
      <c r="H90" s="490" t="s">
        <v>32</v>
      </c>
      <c r="I90" s="490" t="s">
        <v>36</v>
      </c>
      <c r="J90" s="490" t="s">
        <v>67</v>
      </c>
      <c r="K90" s="491" t="s">
        <v>32</v>
      </c>
    </row>
    <row r="91" spans="2:52" ht="15" hidden="1" customHeight="1">
      <c r="D91" s="489"/>
      <c r="E91" s="490"/>
      <c r="F91" s="490"/>
      <c r="G91" s="490"/>
      <c r="H91" s="490" t="s">
        <v>32</v>
      </c>
      <c r="I91" s="490">
        <v>35</v>
      </c>
      <c r="J91" s="490" t="s">
        <v>810</v>
      </c>
      <c r="K91" s="491" t="s">
        <v>32</v>
      </c>
    </row>
    <row r="92" spans="2:52" ht="15" hidden="1" customHeight="1">
      <c r="D92" s="489"/>
      <c r="E92" s="490"/>
      <c r="F92" s="490"/>
      <c r="G92" s="490"/>
      <c r="H92" s="490" t="s">
        <v>32</v>
      </c>
      <c r="I92" s="490">
        <v>36</v>
      </c>
      <c r="J92" s="490" t="s">
        <v>810</v>
      </c>
      <c r="K92" s="491" t="s">
        <v>32</v>
      </c>
    </row>
    <row r="93" spans="2:52" ht="12.75" hidden="1" customHeight="1">
      <c r="D93" s="489"/>
      <c r="E93" s="490"/>
      <c r="F93" s="490"/>
      <c r="G93" s="490"/>
      <c r="H93" s="490" t="s">
        <v>32</v>
      </c>
      <c r="I93" s="490">
        <v>37</v>
      </c>
      <c r="J93" s="490" t="s">
        <v>810</v>
      </c>
      <c r="K93" s="491" t="s">
        <v>32</v>
      </c>
    </row>
    <row r="94" spans="2:52" ht="15" hidden="1" customHeight="1">
      <c r="D94" s="489"/>
      <c r="E94" s="490"/>
      <c r="F94" s="490"/>
      <c r="G94" s="490"/>
      <c r="H94" s="490" t="s">
        <v>32</v>
      </c>
      <c r="I94" s="490">
        <v>38</v>
      </c>
      <c r="J94" s="490" t="s">
        <v>810</v>
      </c>
      <c r="K94" s="491" t="s">
        <v>32</v>
      </c>
    </row>
    <row r="95" spans="2:52" ht="15" hidden="1" customHeight="1">
      <c r="D95" s="489"/>
      <c r="E95" s="490"/>
      <c r="F95" s="490"/>
      <c r="G95" s="490"/>
      <c r="H95" s="490" t="s">
        <v>32</v>
      </c>
      <c r="I95" s="490">
        <v>39</v>
      </c>
      <c r="J95" s="490" t="s">
        <v>810</v>
      </c>
      <c r="K95" s="491" t="s">
        <v>32</v>
      </c>
    </row>
    <row r="96" spans="2:52" ht="15" hidden="1" customHeight="1">
      <c r="D96" s="489"/>
      <c r="E96" s="490"/>
      <c r="F96" s="490"/>
      <c r="G96" s="490"/>
      <c r="H96" s="490" t="s">
        <v>32</v>
      </c>
      <c r="I96" s="490">
        <v>40</v>
      </c>
      <c r="J96" s="490" t="s">
        <v>810</v>
      </c>
      <c r="K96" s="491" t="s">
        <v>32</v>
      </c>
    </row>
    <row r="97" spans="4:11" ht="15" hidden="1" customHeight="1">
      <c r="D97" s="489"/>
      <c r="E97" s="490"/>
      <c r="F97" s="490"/>
      <c r="G97" s="490"/>
      <c r="H97" s="490" t="s">
        <v>32</v>
      </c>
      <c r="I97" s="490">
        <v>41</v>
      </c>
      <c r="J97" s="490" t="s">
        <v>1150</v>
      </c>
      <c r="K97" s="491" t="s">
        <v>32</v>
      </c>
    </row>
    <row r="98" spans="4:11" ht="15" hidden="1" customHeight="1">
      <c r="D98" s="489"/>
      <c r="E98" s="490"/>
      <c r="F98" s="490"/>
      <c r="G98" s="490"/>
      <c r="H98" s="490" t="s">
        <v>32</v>
      </c>
      <c r="I98" s="490">
        <v>42</v>
      </c>
      <c r="J98" s="490" t="s">
        <v>1150</v>
      </c>
      <c r="K98" s="491" t="s">
        <v>32</v>
      </c>
    </row>
    <row r="99" spans="4:11" ht="15" hidden="1" customHeight="1">
      <c r="D99" s="489"/>
      <c r="E99" s="490"/>
      <c r="F99" s="490"/>
      <c r="G99" s="490"/>
      <c r="H99" s="490" t="s">
        <v>32</v>
      </c>
      <c r="I99" s="490">
        <v>43</v>
      </c>
      <c r="J99" s="490" t="s">
        <v>1150</v>
      </c>
      <c r="K99" s="491" t="s">
        <v>32</v>
      </c>
    </row>
    <row r="100" spans="4:11" ht="15" hidden="1" customHeight="1">
      <c r="D100" s="489"/>
      <c r="E100" s="490"/>
      <c r="F100" s="490"/>
      <c r="G100" s="490"/>
      <c r="H100" s="490" t="s">
        <v>32</v>
      </c>
      <c r="I100" s="490">
        <v>44</v>
      </c>
      <c r="J100" s="490" t="s">
        <v>1150</v>
      </c>
      <c r="K100" s="491" t="s">
        <v>32</v>
      </c>
    </row>
    <row r="101" spans="4:11" ht="15" hidden="1" customHeight="1">
      <c r="D101" s="489"/>
      <c r="E101" s="490"/>
      <c r="F101" s="490"/>
      <c r="G101" s="490"/>
      <c r="H101" s="490" t="s">
        <v>32</v>
      </c>
      <c r="I101" s="490">
        <v>45</v>
      </c>
      <c r="J101" s="490" t="s">
        <v>68</v>
      </c>
      <c r="K101" s="491" t="s">
        <v>32</v>
      </c>
    </row>
    <row r="102" spans="4:11" ht="15" hidden="1" customHeight="1">
      <c r="D102" s="489"/>
      <c r="E102" s="490"/>
      <c r="F102" s="490"/>
      <c r="G102" s="490"/>
      <c r="H102" s="490" t="s">
        <v>32</v>
      </c>
      <c r="I102" s="490">
        <v>46</v>
      </c>
      <c r="J102" s="490" t="s">
        <v>68</v>
      </c>
      <c r="K102" s="491" t="s">
        <v>32</v>
      </c>
    </row>
    <row r="103" spans="4:11" ht="15" hidden="1" customHeight="1">
      <c r="D103" s="489"/>
      <c r="E103" s="490"/>
      <c r="F103" s="490"/>
      <c r="G103" s="490"/>
      <c r="H103" s="490" t="s">
        <v>32</v>
      </c>
      <c r="I103" s="490">
        <v>47</v>
      </c>
      <c r="J103" s="490" t="s">
        <v>68</v>
      </c>
      <c r="K103" s="491" t="s">
        <v>32</v>
      </c>
    </row>
    <row r="104" spans="4:11" ht="15" hidden="1" customHeight="1">
      <c r="D104" s="489"/>
      <c r="E104" s="490"/>
      <c r="F104" s="490"/>
      <c r="G104" s="490"/>
      <c r="H104" s="490" t="s">
        <v>32</v>
      </c>
      <c r="I104" s="490">
        <v>48</v>
      </c>
      <c r="J104" s="490" t="s">
        <v>68</v>
      </c>
      <c r="K104" s="491" t="s">
        <v>32</v>
      </c>
    </row>
    <row r="105" spans="4:11" ht="15" hidden="1" customHeight="1">
      <c r="D105" s="489"/>
      <c r="E105" s="490"/>
      <c r="F105" s="490"/>
      <c r="G105" s="490"/>
      <c r="H105" s="490" t="s">
        <v>32</v>
      </c>
      <c r="I105" s="490">
        <v>49</v>
      </c>
      <c r="J105" s="490" t="s">
        <v>1150</v>
      </c>
      <c r="K105" s="491" t="s">
        <v>32</v>
      </c>
    </row>
    <row r="106" spans="4:11" ht="15" hidden="1" customHeight="1">
      <c r="D106" s="489"/>
      <c r="E106" s="490"/>
      <c r="F106" s="490"/>
      <c r="G106" s="490"/>
      <c r="H106" s="490" t="s">
        <v>32</v>
      </c>
      <c r="I106" s="490">
        <v>50</v>
      </c>
      <c r="J106" s="490" t="s">
        <v>33</v>
      </c>
      <c r="K106" s="491" t="s">
        <v>32</v>
      </c>
    </row>
    <row r="107" spans="4:11" ht="15" hidden="1" customHeight="1">
      <c r="D107" s="489"/>
      <c r="E107" s="490"/>
      <c r="F107" s="490"/>
      <c r="G107" s="490"/>
      <c r="H107" s="490" t="s">
        <v>32</v>
      </c>
      <c r="I107" s="490">
        <v>51</v>
      </c>
      <c r="J107" s="490" t="s">
        <v>33</v>
      </c>
      <c r="K107" s="491" t="s">
        <v>32</v>
      </c>
    </row>
    <row r="108" spans="4:11" ht="15" hidden="1" customHeight="1">
      <c r="D108" s="489"/>
      <c r="E108" s="490"/>
      <c r="F108" s="490"/>
      <c r="G108" s="490"/>
      <c r="H108" s="490" t="s">
        <v>32</v>
      </c>
      <c r="I108" s="490">
        <v>52</v>
      </c>
      <c r="J108" s="490" t="s">
        <v>33</v>
      </c>
      <c r="K108" s="491" t="s">
        <v>32</v>
      </c>
    </row>
    <row r="109" spans="4:11" ht="15" hidden="1" customHeight="1">
      <c r="D109" s="489"/>
      <c r="E109" s="490"/>
      <c r="F109" s="490"/>
      <c r="G109" s="490"/>
      <c r="H109" s="490" t="s">
        <v>32</v>
      </c>
      <c r="I109" s="490">
        <v>53</v>
      </c>
      <c r="J109" s="490" t="s">
        <v>33</v>
      </c>
      <c r="K109" s="491" t="s">
        <v>32</v>
      </c>
    </row>
    <row r="110" spans="4:11" ht="15" hidden="1" customHeight="1">
      <c r="D110" s="489"/>
      <c r="E110" s="490"/>
      <c r="F110" s="490"/>
      <c r="G110" s="490"/>
      <c r="H110" s="490" t="s">
        <v>32</v>
      </c>
      <c r="I110" s="490">
        <v>54</v>
      </c>
      <c r="J110" s="490" t="s">
        <v>33</v>
      </c>
      <c r="K110" s="491" t="s">
        <v>32</v>
      </c>
    </row>
    <row r="111" spans="4:11" ht="15" hidden="1" customHeight="1">
      <c r="D111" s="489"/>
      <c r="E111" s="490"/>
      <c r="F111" s="490"/>
      <c r="G111" s="490"/>
      <c r="H111" s="490" t="s">
        <v>32</v>
      </c>
      <c r="I111" s="490">
        <v>55</v>
      </c>
      <c r="J111" s="490" t="s">
        <v>33</v>
      </c>
      <c r="K111" s="491" t="s">
        <v>32</v>
      </c>
    </row>
    <row r="112" spans="4:11" ht="15" hidden="1" customHeight="1">
      <c r="D112" s="489"/>
      <c r="E112" s="490"/>
      <c r="F112" s="490"/>
      <c r="G112" s="490"/>
      <c r="H112" s="490" t="s">
        <v>32</v>
      </c>
      <c r="I112" s="490">
        <v>56</v>
      </c>
      <c r="J112" s="490" t="s">
        <v>33</v>
      </c>
      <c r="K112" s="491" t="s">
        <v>32</v>
      </c>
    </row>
    <row r="113" spans="4:11" ht="15" hidden="1" customHeight="1">
      <c r="D113" s="489"/>
      <c r="E113" s="490"/>
      <c r="F113" s="490"/>
      <c r="G113" s="490"/>
      <c r="H113" s="490" t="s">
        <v>32</v>
      </c>
      <c r="I113" s="490">
        <v>57</v>
      </c>
      <c r="J113" s="490" t="s">
        <v>33</v>
      </c>
      <c r="K113" s="491" t="s">
        <v>32</v>
      </c>
    </row>
    <row r="114" spans="4:11" ht="15" hidden="1" customHeight="1">
      <c r="D114" s="489"/>
      <c r="E114" s="490"/>
      <c r="F114" s="490"/>
      <c r="G114" s="490"/>
      <c r="H114" s="490" t="s">
        <v>32</v>
      </c>
      <c r="I114" s="490">
        <v>58</v>
      </c>
      <c r="J114" s="490" t="s">
        <v>33</v>
      </c>
      <c r="K114" s="491" t="s">
        <v>32</v>
      </c>
    </row>
    <row r="115" spans="4:11" ht="15" hidden="1" customHeight="1">
      <c r="D115" s="489"/>
      <c r="E115" s="490"/>
      <c r="F115" s="490"/>
      <c r="G115" s="490"/>
      <c r="H115" s="490" t="s">
        <v>32</v>
      </c>
      <c r="I115" s="490">
        <v>59</v>
      </c>
      <c r="J115" s="490" t="s">
        <v>1150</v>
      </c>
      <c r="K115" s="491" t="s">
        <v>32</v>
      </c>
    </row>
    <row r="116" spans="4:11" ht="15" hidden="1" customHeight="1">
      <c r="D116" s="489"/>
      <c r="E116" s="490"/>
      <c r="F116" s="490"/>
      <c r="G116" s="490"/>
      <c r="H116" s="490" t="s">
        <v>32</v>
      </c>
      <c r="I116" s="490">
        <v>60</v>
      </c>
      <c r="J116" s="490" t="s">
        <v>34</v>
      </c>
      <c r="K116" s="491" t="s">
        <v>32</v>
      </c>
    </row>
    <row r="117" spans="4:11" ht="15" hidden="1" customHeight="1">
      <c r="D117" s="489"/>
      <c r="E117" s="490"/>
      <c r="F117" s="490"/>
      <c r="G117" s="490"/>
      <c r="H117" s="490" t="s">
        <v>32</v>
      </c>
      <c r="I117" s="490">
        <v>61</v>
      </c>
      <c r="J117" s="490" t="s">
        <v>34</v>
      </c>
      <c r="K117" s="491" t="s">
        <v>32</v>
      </c>
    </row>
    <row r="118" spans="4:11" ht="15" hidden="1" customHeight="1">
      <c r="D118" s="489"/>
      <c r="E118" s="490"/>
      <c r="F118" s="490"/>
      <c r="G118" s="490"/>
      <c r="H118" s="490" t="s">
        <v>32</v>
      </c>
      <c r="I118" s="490">
        <v>62</v>
      </c>
      <c r="J118" s="490" t="s">
        <v>34</v>
      </c>
      <c r="K118" s="491" t="s">
        <v>32</v>
      </c>
    </row>
    <row r="119" spans="4:11" ht="15" hidden="1" customHeight="1">
      <c r="D119" s="489"/>
      <c r="E119" s="490"/>
      <c r="F119" s="490"/>
      <c r="G119" s="490"/>
      <c r="H119" s="490" t="s">
        <v>32</v>
      </c>
      <c r="I119" s="490">
        <v>63</v>
      </c>
      <c r="J119" s="490" t="s">
        <v>34</v>
      </c>
      <c r="K119" s="491" t="s">
        <v>32</v>
      </c>
    </row>
    <row r="120" spans="4:11" ht="15" hidden="1" customHeight="1">
      <c r="D120" s="489"/>
      <c r="E120" s="490"/>
      <c r="F120" s="490"/>
      <c r="G120" s="490"/>
      <c r="H120" s="490" t="s">
        <v>32</v>
      </c>
      <c r="I120" s="490">
        <v>64</v>
      </c>
      <c r="J120" s="490" t="s">
        <v>34</v>
      </c>
      <c r="K120" s="491" t="s">
        <v>32</v>
      </c>
    </row>
    <row r="121" spans="4:11" ht="15" hidden="1" customHeight="1">
      <c r="D121" s="489"/>
      <c r="E121" s="490"/>
      <c r="F121" s="490"/>
      <c r="G121" s="490"/>
      <c r="H121" s="490" t="s">
        <v>32</v>
      </c>
      <c r="I121" s="490">
        <v>65</v>
      </c>
      <c r="J121" s="490" t="s">
        <v>34</v>
      </c>
      <c r="K121" s="491" t="s">
        <v>32</v>
      </c>
    </row>
    <row r="122" spans="4:11" ht="15" hidden="1" customHeight="1">
      <c r="D122" s="489"/>
      <c r="E122" s="490"/>
      <c r="F122" s="490"/>
      <c r="G122" s="490"/>
      <c r="H122" s="490" t="s">
        <v>32</v>
      </c>
      <c r="I122" s="490">
        <v>66</v>
      </c>
      <c r="J122" s="490" t="s">
        <v>34</v>
      </c>
      <c r="K122" s="491" t="s">
        <v>32</v>
      </c>
    </row>
    <row r="123" spans="4:11" ht="15" hidden="1" customHeight="1">
      <c r="D123" s="489"/>
      <c r="E123" s="490"/>
      <c r="F123" s="490"/>
      <c r="G123" s="490"/>
      <c r="H123" s="490" t="s">
        <v>32</v>
      </c>
      <c r="I123" s="490">
        <v>67</v>
      </c>
      <c r="J123" s="490" t="s">
        <v>34</v>
      </c>
      <c r="K123" s="491" t="s">
        <v>32</v>
      </c>
    </row>
    <row r="124" spans="4:11" ht="15" hidden="1" customHeight="1">
      <c r="D124" s="489"/>
      <c r="E124" s="490"/>
      <c r="F124" s="490"/>
      <c r="G124" s="490"/>
      <c r="H124" s="490" t="s">
        <v>32</v>
      </c>
      <c r="I124" s="490">
        <v>68</v>
      </c>
      <c r="J124" s="490" t="s">
        <v>34</v>
      </c>
      <c r="K124" s="491" t="s">
        <v>32</v>
      </c>
    </row>
    <row r="125" spans="4:11" ht="15" hidden="1" customHeight="1">
      <c r="D125" s="489"/>
      <c r="E125" s="490"/>
      <c r="F125" s="490"/>
      <c r="G125" s="490"/>
      <c r="H125" s="490" t="s">
        <v>32</v>
      </c>
      <c r="I125" s="490">
        <v>69</v>
      </c>
      <c r="J125" s="490" t="s">
        <v>35</v>
      </c>
      <c r="K125" s="491" t="s">
        <v>32</v>
      </c>
    </row>
    <row r="126" spans="4:11" ht="15" hidden="1" customHeight="1">
      <c r="D126" s="489"/>
      <c r="E126" s="490"/>
      <c r="F126" s="490"/>
      <c r="G126" s="490"/>
      <c r="H126" s="490" t="s">
        <v>32</v>
      </c>
      <c r="I126" s="490">
        <v>70</v>
      </c>
      <c r="J126" s="490" t="s">
        <v>35</v>
      </c>
      <c r="K126" s="491" t="s">
        <v>32</v>
      </c>
    </row>
    <row r="127" spans="4:11" ht="15" hidden="1" customHeight="1">
      <c r="D127" s="489"/>
      <c r="E127" s="490"/>
      <c r="F127" s="490"/>
      <c r="G127" s="490"/>
      <c r="H127" s="490" t="s">
        <v>32</v>
      </c>
      <c r="I127" s="490">
        <v>71</v>
      </c>
      <c r="J127" s="490" t="s">
        <v>35</v>
      </c>
      <c r="K127" s="491" t="s">
        <v>32</v>
      </c>
    </row>
    <row r="128" spans="4:11" ht="15" hidden="1" customHeight="1">
      <c r="D128" s="489"/>
      <c r="E128" s="490"/>
      <c r="F128" s="490"/>
      <c r="G128" s="490"/>
      <c r="H128" s="490" t="s">
        <v>32</v>
      </c>
      <c r="I128" s="490">
        <v>72</v>
      </c>
      <c r="J128" s="490" t="s">
        <v>35</v>
      </c>
      <c r="K128" s="491" t="s">
        <v>32</v>
      </c>
    </row>
    <row r="129" spans="4:11" ht="15" hidden="1" customHeight="1">
      <c r="D129" s="489"/>
      <c r="E129" s="490"/>
      <c r="F129" s="490"/>
      <c r="G129" s="490"/>
      <c r="H129" s="490" t="s">
        <v>32</v>
      </c>
      <c r="I129" s="490">
        <v>73</v>
      </c>
      <c r="J129" s="490" t="s">
        <v>35</v>
      </c>
      <c r="K129" s="491" t="s">
        <v>32</v>
      </c>
    </row>
    <row r="130" spans="4:11" ht="15" hidden="1" customHeight="1">
      <c r="D130" s="489"/>
      <c r="E130" s="490"/>
      <c r="F130" s="490"/>
      <c r="G130" s="490"/>
      <c r="H130" s="490" t="s">
        <v>32</v>
      </c>
      <c r="I130" s="490">
        <v>74</v>
      </c>
      <c r="J130" s="490" t="s">
        <v>35</v>
      </c>
      <c r="K130" s="491" t="s">
        <v>32</v>
      </c>
    </row>
    <row r="131" spans="4:11" ht="15" hidden="1" customHeight="1">
      <c r="D131" s="489"/>
      <c r="E131" s="490"/>
      <c r="F131" s="490"/>
      <c r="G131" s="490"/>
      <c r="H131" s="490" t="s">
        <v>32</v>
      </c>
      <c r="I131" s="490">
        <v>75</v>
      </c>
      <c r="J131" s="490" t="s">
        <v>35</v>
      </c>
      <c r="K131" s="491" t="s">
        <v>32</v>
      </c>
    </row>
    <row r="132" spans="4:11" ht="15" hidden="1" customHeight="1">
      <c r="D132" s="489"/>
      <c r="E132" s="490"/>
      <c r="F132" s="490"/>
      <c r="G132" s="490"/>
      <c r="H132" s="490" t="s">
        <v>32</v>
      </c>
      <c r="I132" s="490">
        <v>76</v>
      </c>
      <c r="J132" s="490" t="s">
        <v>1134</v>
      </c>
      <c r="K132" s="491" t="s">
        <v>32</v>
      </c>
    </row>
    <row r="133" spans="4:11" ht="15" hidden="1" customHeight="1">
      <c r="D133" s="489"/>
      <c r="E133" s="490"/>
      <c r="F133" s="490"/>
      <c r="G133" s="490"/>
      <c r="H133" s="490" t="s">
        <v>32</v>
      </c>
      <c r="I133" s="490">
        <v>77</v>
      </c>
      <c r="J133" s="490" t="s">
        <v>1134</v>
      </c>
      <c r="K133" s="491" t="s">
        <v>32</v>
      </c>
    </row>
    <row r="134" spans="4:11" ht="15" hidden="1" customHeight="1">
      <c r="D134" s="489"/>
      <c r="E134" s="490"/>
      <c r="F134" s="490"/>
      <c r="G134" s="490"/>
      <c r="H134" s="490" t="s">
        <v>32</v>
      </c>
      <c r="I134" s="490">
        <v>78</v>
      </c>
      <c r="J134" s="490" t="s">
        <v>1134</v>
      </c>
      <c r="K134" s="491" t="s">
        <v>32</v>
      </c>
    </row>
    <row r="135" spans="4:11" ht="15" hidden="1" customHeight="1">
      <c r="D135" s="489"/>
      <c r="E135" s="490"/>
      <c r="F135" s="490"/>
      <c r="G135" s="490"/>
      <c r="H135" s="490" t="s">
        <v>32</v>
      </c>
      <c r="I135" s="490">
        <v>79</v>
      </c>
      <c r="J135" s="490" t="s">
        <v>1134</v>
      </c>
      <c r="K135" s="491" t="s">
        <v>32</v>
      </c>
    </row>
    <row r="136" spans="4:11" ht="15" hidden="1" customHeight="1">
      <c r="D136" s="489"/>
      <c r="E136" s="490"/>
      <c r="F136" s="490"/>
      <c r="G136" s="490"/>
      <c r="H136" s="490" t="s">
        <v>32</v>
      </c>
      <c r="I136" s="490">
        <v>80</v>
      </c>
      <c r="J136" s="490" t="s">
        <v>1134</v>
      </c>
      <c r="K136" s="491" t="s">
        <v>32</v>
      </c>
    </row>
    <row r="137" spans="4:11" ht="15" hidden="1" customHeight="1">
      <c r="D137" s="489"/>
      <c r="E137" s="490"/>
      <c r="F137" s="490"/>
      <c r="G137" s="490"/>
      <c r="H137" s="490" t="s">
        <v>32</v>
      </c>
      <c r="I137" s="490">
        <v>100</v>
      </c>
      <c r="J137" s="490" t="s">
        <v>37</v>
      </c>
      <c r="K137" s="491" t="s">
        <v>32</v>
      </c>
    </row>
    <row r="138" spans="4:11" ht="15" hidden="1" customHeight="1">
      <c r="D138" s="492"/>
      <c r="E138" s="493"/>
      <c r="F138" s="493"/>
      <c r="G138" s="493"/>
      <c r="H138" s="493"/>
      <c r="I138" s="493"/>
      <c r="J138" s="493"/>
      <c r="K138" s="494"/>
    </row>
  </sheetData>
  <sheetProtection sheet="1" selectLockedCells="1"/>
  <dataConsolidate link="1"/>
  <mergeCells count="159">
    <mergeCell ref="AC68:AD68"/>
    <mergeCell ref="D67:G67"/>
    <mergeCell ref="J67:P67"/>
    <mergeCell ref="Q67:T67"/>
    <mergeCell ref="X67:Y67"/>
    <mergeCell ref="AA67:AC67"/>
    <mergeCell ref="D68:E68"/>
    <mergeCell ref="F68:G68"/>
    <mergeCell ref="J68:K68"/>
    <mergeCell ref="O68:T68"/>
    <mergeCell ref="X68:Y68"/>
    <mergeCell ref="Q64:T64"/>
    <mergeCell ref="X64:Y64"/>
    <mergeCell ref="AA64:AC64"/>
    <mergeCell ref="D65:E65"/>
    <mergeCell ref="F65:G65"/>
    <mergeCell ref="J65:K65"/>
    <mergeCell ref="O65:T65"/>
    <mergeCell ref="X65:Y65"/>
    <mergeCell ref="AC65:AD65"/>
    <mergeCell ref="D64:G64"/>
    <mergeCell ref="Q61:T61"/>
    <mergeCell ref="X61:Y61"/>
    <mergeCell ref="AA61:AC61"/>
    <mergeCell ref="D62:E62"/>
    <mergeCell ref="F62:G62"/>
    <mergeCell ref="J62:K62"/>
    <mergeCell ref="O62:T62"/>
    <mergeCell ref="X62:Y62"/>
    <mergeCell ref="AC62:AD62"/>
    <mergeCell ref="Q58:T58"/>
    <mergeCell ref="X58:Y58"/>
    <mergeCell ref="AA58:AC58"/>
    <mergeCell ref="D59:E59"/>
    <mergeCell ref="F59:G59"/>
    <mergeCell ref="J59:K59"/>
    <mergeCell ref="O59:T59"/>
    <mergeCell ref="X59:Y59"/>
    <mergeCell ref="AC59:AD59"/>
    <mergeCell ref="AD2:AH2"/>
    <mergeCell ref="J30:K30"/>
    <mergeCell ref="Q23:S23"/>
    <mergeCell ref="O6:R6"/>
    <mergeCell ref="O19:P19"/>
    <mergeCell ref="AD3:AH3"/>
    <mergeCell ref="K2:Z3"/>
    <mergeCell ref="M20:N20"/>
    <mergeCell ref="D19:L19"/>
    <mergeCell ref="AB6:AG6"/>
    <mergeCell ref="M18:N18"/>
    <mergeCell ref="M17:N17"/>
    <mergeCell ref="O17:P17"/>
    <mergeCell ref="Q17:S17"/>
    <mergeCell ref="D22:L22"/>
    <mergeCell ref="P11:Q11"/>
    <mergeCell ref="X11:Y11"/>
    <mergeCell ref="V6:X6"/>
    <mergeCell ref="X13:Y13"/>
    <mergeCell ref="C6:K6"/>
    <mergeCell ref="O18:P18"/>
    <mergeCell ref="M19:N19"/>
    <mergeCell ref="Q18:S18"/>
    <mergeCell ref="Q24:S24"/>
    <mergeCell ref="O21:P21"/>
    <mergeCell ref="M23:N23"/>
    <mergeCell ref="Q22:S22"/>
    <mergeCell ref="L35:P35"/>
    <mergeCell ref="D46:G46"/>
    <mergeCell ref="D48:G48"/>
    <mergeCell ref="P37:W37"/>
    <mergeCell ref="P38:W38"/>
    <mergeCell ref="P40:W40"/>
    <mergeCell ref="P41:W41"/>
    <mergeCell ref="P44:W44"/>
    <mergeCell ref="P45:W45"/>
    <mergeCell ref="P46:W46"/>
    <mergeCell ref="P48:W48"/>
    <mergeCell ref="D37:G37"/>
    <mergeCell ref="D38:G38"/>
    <mergeCell ref="D45:G45"/>
    <mergeCell ref="D40:G40"/>
    <mergeCell ref="D41:G41"/>
    <mergeCell ref="D44:G44"/>
    <mergeCell ref="J40:K40"/>
    <mergeCell ref="J41:K41"/>
    <mergeCell ref="J44:K44"/>
    <mergeCell ref="J45:K45"/>
    <mergeCell ref="X55:Y55"/>
    <mergeCell ref="AA55:AC55"/>
    <mergeCell ref="D56:E56"/>
    <mergeCell ref="F56:G56"/>
    <mergeCell ref="D23:L23"/>
    <mergeCell ref="D20:L20"/>
    <mergeCell ref="M24:N24"/>
    <mergeCell ref="D21:L21"/>
    <mergeCell ref="M22:N22"/>
    <mergeCell ref="O20:P20"/>
    <mergeCell ref="L43:P43"/>
    <mergeCell ref="J31:K31"/>
    <mergeCell ref="D30:G30"/>
    <mergeCell ref="D31:G31"/>
    <mergeCell ref="D32:G32"/>
    <mergeCell ref="O23:P23"/>
    <mergeCell ref="D36:G36"/>
    <mergeCell ref="P30:W30"/>
    <mergeCell ref="P31:W31"/>
    <mergeCell ref="P32:W32"/>
    <mergeCell ref="P36:W36"/>
    <mergeCell ref="J38:K38"/>
    <mergeCell ref="Q21:S21"/>
    <mergeCell ref="M21:N21"/>
    <mergeCell ref="L78:M78"/>
    <mergeCell ref="D61:G61"/>
    <mergeCell ref="AJ2:AJ3"/>
    <mergeCell ref="AE78:AF78"/>
    <mergeCell ref="O28:W28"/>
    <mergeCell ref="D24:L24"/>
    <mergeCell ref="U18:AF24"/>
    <mergeCell ref="O24:P24"/>
    <mergeCell ref="P79:Q79"/>
    <mergeCell ref="AE79:AF79"/>
    <mergeCell ref="I79:J79"/>
    <mergeCell ref="U78:AA78"/>
    <mergeCell ref="U79:AA79"/>
    <mergeCell ref="J48:K48"/>
    <mergeCell ref="D58:G58"/>
    <mergeCell ref="T74:AF74"/>
    <mergeCell ref="AD70:AE70"/>
    <mergeCell ref="L79:M79"/>
    <mergeCell ref="D79:E79"/>
    <mergeCell ref="P78:Q78"/>
    <mergeCell ref="D55:G55"/>
    <mergeCell ref="N52:O52"/>
    <mergeCell ref="X70:Y70"/>
    <mergeCell ref="Q55:T55"/>
    <mergeCell ref="AL2:AL3"/>
    <mergeCell ref="H8:I8"/>
    <mergeCell ref="J55:P55"/>
    <mergeCell ref="J58:P58"/>
    <mergeCell ref="J61:P61"/>
    <mergeCell ref="J64:P64"/>
    <mergeCell ref="L74:O74"/>
    <mergeCell ref="AB13:AC13"/>
    <mergeCell ref="J46:K46"/>
    <mergeCell ref="J32:K32"/>
    <mergeCell ref="AA8:AB8"/>
    <mergeCell ref="D18:L18"/>
    <mergeCell ref="M13:N13"/>
    <mergeCell ref="Q20:S20"/>
    <mergeCell ref="O22:P22"/>
    <mergeCell ref="N8:O8"/>
    <mergeCell ref="J36:K36"/>
    <mergeCell ref="J37:K37"/>
    <mergeCell ref="J56:K56"/>
    <mergeCell ref="O56:T56"/>
    <mergeCell ref="X56:Y56"/>
    <mergeCell ref="AC56:AD56"/>
    <mergeCell ref="T8:U8"/>
    <mergeCell ref="Q19:S19"/>
  </mergeCells>
  <conditionalFormatting sqref="Q18:S18">
    <cfRule type="expression" dxfId="292" priority="285" stopIfTrue="1">
      <formula>$D18="&lt;malzsorte eintragen&gt;"</formula>
    </cfRule>
  </conditionalFormatting>
  <conditionalFormatting sqref="O18:P18">
    <cfRule type="cellIs" dxfId="291" priority="283" stopIfTrue="1" operator="equal">
      <formula>1</formula>
    </cfRule>
    <cfRule type="cellIs" dxfId="290" priority="284" stopIfTrue="1" operator="notEqual">
      <formula>1</formula>
    </cfRule>
  </conditionalFormatting>
  <conditionalFormatting sqref="W42 Z42:AF42">
    <cfRule type="expression" dxfId="289" priority="117">
      <formula>$D42="keine Rast"</formula>
    </cfRule>
  </conditionalFormatting>
  <conditionalFormatting sqref="M19:S19">
    <cfRule type="expression" dxfId="288" priority="112">
      <formula>$D19="&lt;malzsorte wählen&gt;"</formula>
    </cfRule>
  </conditionalFormatting>
  <conditionalFormatting sqref="M20:S20">
    <cfRule type="expression" dxfId="287" priority="105">
      <formula>$D20="&lt;malzsorte wählen&gt;"</formula>
    </cfRule>
  </conditionalFormatting>
  <conditionalFormatting sqref="M21:S21">
    <cfRule type="expression" dxfId="286" priority="110">
      <formula>$D21="&lt;malzsorte wählen&gt;"</formula>
    </cfRule>
  </conditionalFormatting>
  <conditionalFormatting sqref="M22:S22">
    <cfRule type="expression" dxfId="285" priority="109">
      <formula>$D22="&lt;malzsorte wählen&gt;"</formula>
    </cfRule>
  </conditionalFormatting>
  <conditionalFormatting sqref="M23:S23">
    <cfRule type="expression" dxfId="284" priority="108">
      <formula>$D23="&lt;malzsorte wählen&gt;"</formula>
    </cfRule>
  </conditionalFormatting>
  <conditionalFormatting sqref="M24:S24">
    <cfRule type="expression" dxfId="283" priority="107">
      <formula>$D24="&lt;malzsorte wählen&gt;"</formula>
    </cfRule>
  </conditionalFormatting>
  <conditionalFormatting sqref="D19:S19">
    <cfRule type="expression" dxfId="282" priority="106">
      <formula>$D19=""</formula>
    </cfRule>
  </conditionalFormatting>
  <conditionalFormatting sqref="D20:S20">
    <cfRule type="expression" dxfId="281" priority="111">
      <formula>$D20=""</formula>
    </cfRule>
  </conditionalFormatting>
  <conditionalFormatting sqref="D21:S21">
    <cfRule type="expression" dxfId="280" priority="104">
      <formula>$D21=""</formula>
    </cfRule>
  </conditionalFormatting>
  <conditionalFormatting sqref="D22:S22">
    <cfRule type="expression" dxfId="279" priority="103">
      <formula>$D22=""</formula>
    </cfRule>
  </conditionalFormatting>
  <conditionalFormatting sqref="D23:S23">
    <cfRule type="expression" dxfId="278" priority="102">
      <formula>$D23=""</formula>
    </cfRule>
  </conditionalFormatting>
  <conditionalFormatting sqref="D24:S24">
    <cfRule type="expression" dxfId="277" priority="101">
      <formula>$D24=""</formula>
    </cfRule>
  </conditionalFormatting>
  <conditionalFormatting sqref="O19:P19">
    <cfRule type="expression" dxfId="276" priority="866">
      <formula>O19+O20+O21+O22+O23+O24=100%</formula>
    </cfRule>
  </conditionalFormatting>
  <conditionalFormatting sqref="O24:P24">
    <cfRule type="expression" dxfId="275" priority="880">
      <formula>O19+O20+O21+O22+O23+O24=100%</formula>
    </cfRule>
  </conditionalFormatting>
  <conditionalFormatting sqref="O20:P20">
    <cfRule type="expression" dxfId="274" priority="881">
      <formula>O19+O20+O21+O22+O23+O24=100%</formula>
    </cfRule>
  </conditionalFormatting>
  <conditionalFormatting sqref="O21:P21">
    <cfRule type="expression" dxfId="273" priority="882">
      <formula>O19+O20+O21+O22+O23+O24=100%</formula>
    </cfRule>
  </conditionalFormatting>
  <conditionalFormatting sqref="O22:P22">
    <cfRule type="expression" dxfId="272" priority="883">
      <formula>O19+O20+O21+O22+O23+O24=100%</formula>
    </cfRule>
  </conditionalFormatting>
  <conditionalFormatting sqref="O23:P23">
    <cfRule type="expression" dxfId="271" priority="884">
      <formula>O19+O20+O21+O22+O23+O24=100%</formula>
    </cfRule>
  </conditionalFormatting>
  <conditionalFormatting sqref="C6 H8 P11 X11 X13 U18 J48 R43 R35 N52 X70 D79 I79 L78:M79 AE78:AF79 M13 AB13 AA8 V6 T8 O6 N8 O19:S24 J30:K32 J36:K38 J40:K41 J44:K46 F56 F59 F62 F65 F68 X55:Y56 X58:Y59 X61:Y62 X64:Y65 X67:Y68">
    <cfRule type="notContainsBlanks" dxfId="270" priority="84">
      <formula>LEN(TRIM(C6))&gt;0</formula>
    </cfRule>
  </conditionalFormatting>
  <conditionalFormatting sqref="D19:L24">
    <cfRule type="containsText" dxfId="269" priority="83" operator="containsText" text="&lt;Malzsorte wählen&gt;">
      <formula>NOT(ISERROR(SEARCH("&lt;Malzsorte wählen&gt;",D19)))</formula>
    </cfRule>
  </conditionalFormatting>
  <conditionalFormatting sqref="D30:G32 D36:G38 D40:G41 D44:G46 D48">
    <cfRule type="containsText" dxfId="268" priority="82" operator="containsText" text="Temperatur">
      <formula>NOT(ISERROR(SEARCH("Temperatur",D30)))</formula>
    </cfRule>
  </conditionalFormatting>
  <conditionalFormatting sqref="O28:W28">
    <cfRule type="beginsWith" dxfId="267" priority="81" operator="beginsWith" text="Maischverfahren">
      <formula>LEFT(O28,LEN("Maischverfahren"))="Maischverfahren"</formula>
    </cfRule>
  </conditionalFormatting>
  <conditionalFormatting sqref="L43:P43 L35:P35">
    <cfRule type="containsText" dxfId="266" priority="80" operator="containsText" text="wählen">
      <formula>NOT(ISERROR(SEARCH("wählen",L35)))</formula>
    </cfRule>
  </conditionalFormatting>
  <conditionalFormatting sqref="U78:AA79">
    <cfRule type="containsText" dxfId="265" priority="406" operator="containsText" text="&lt;Hopfensorte wählen&gt;">
      <formula>NOT(ISERROR(SEARCH("&lt;Hopfensorte wählen&gt;",U78)))</formula>
    </cfRule>
  </conditionalFormatting>
  <conditionalFormatting sqref="AB6:AG6">
    <cfRule type="containsText" dxfId="264" priority="77" operator="containsText" text="Bitte wählen">
      <formula>NOT(ISERROR(SEARCH("Bitte wählen",AB6)))</formula>
    </cfRule>
  </conditionalFormatting>
  <conditionalFormatting sqref="L74:O74">
    <cfRule type="containsText" dxfId="263" priority="76" operator="containsText" text="bitte wählen">
      <formula>NOT(ISERROR(SEARCH("bitte wählen",L74)))</formula>
    </cfRule>
  </conditionalFormatting>
  <conditionalFormatting sqref="T74:AF74">
    <cfRule type="containsBlanks" dxfId="262" priority="75">
      <formula>LEN(TRIM(T74))=0</formula>
    </cfRule>
  </conditionalFormatting>
  <conditionalFormatting sqref="P78:Q79 J56 J59 J62 J65 J68">
    <cfRule type="cellIs" dxfId="261" priority="377" operator="equal">
      <formula>0</formula>
    </cfRule>
  </conditionalFormatting>
  <conditionalFormatting sqref="L78:AF78 H79:AF79">
    <cfRule type="expression" dxfId="260" priority="72">
      <formula>$D$79=""</formula>
    </cfRule>
  </conditionalFormatting>
  <conditionalFormatting sqref="P30:W30">
    <cfRule type="beginsWith" dxfId="259" priority="71" operator="beginsWith" text="Rast">
      <formula>LEFT(P30,LEN("Rast"))="Rast"</formula>
    </cfRule>
  </conditionalFormatting>
  <conditionalFormatting sqref="P31:W31">
    <cfRule type="beginsWith" dxfId="258" priority="70" operator="beginsWith" text="Rast">
      <formula>LEFT(P31,LEN("Rast"))="Rast"</formula>
    </cfRule>
  </conditionalFormatting>
  <conditionalFormatting sqref="P32:W32">
    <cfRule type="beginsWith" dxfId="257" priority="69" operator="beginsWith" text="Rast">
      <formula>LEFT(P32,LEN("Rast"))="Rast"</formula>
    </cfRule>
  </conditionalFormatting>
  <conditionalFormatting sqref="P36:W36">
    <cfRule type="beginsWith" dxfId="256" priority="68" operator="beginsWith" text="Rast">
      <formula>LEFT(P36,LEN("Rast"))="Rast"</formula>
    </cfRule>
  </conditionalFormatting>
  <conditionalFormatting sqref="P37:W37">
    <cfRule type="beginsWith" dxfId="255" priority="67" operator="beginsWith" text="Rast">
      <formula>LEFT(P37,LEN("Rast"))="Rast"</formula>
    </cfRule>
  </conditionalFormatting>
  <conditionalFormatting sqref="P38:W38">
    <cfRule type="beginsWith" dxfId="254" priority="66" operator="beginsWith" text="Rast">
      <formula>LEFT(P38,LEN("Rast"))="Rast"</formula>
    </cfRule>
  </conditionalFormatting>
  <conditionalFormatting sqref="P40:W40">
    <cfRule type="beginsWith" dxfId="253" priority="65" operator="beginsWith" text="Rast">
      <formula>LEFT(P40,LEN("Rast"))="Rast"</formula>
    </cfRule>
  </conditionalFormatting>
  <conditionalFormatting sqref="P41:W41">
    <cfRule type="beginsWith" dxfId="252" priority="64" operator="beginsWith" text="Rast">
      <formula>LEFT(P41,LEN("Rast"))="Rast"</formula>
    </cfRule>
  </conditionalFormatting>
  <conditionalFormatting sqref="H31:AF31">
    <cfRule type="expression" dxfId="251" priority="63">
      <formula>$D31="keine Rast"</formula>
    </cfRule>
  </conditionalFormatting>
  <conditionalFormatting sqref="H32:AF32">
    <cfRule type="expression" dxfId="250" priority="62">
      <formula>$D32="keine Rast"</formula>
    </cfRule>
  </conditionalFormatting>
  <conditionalFormatting sqref="H36:AF36">
    <cfRule type="expression" dxfId="249" priority="61">
      <formula>$D36="keine Rast"</formula>
    </cfRule>
  </conditionalFormatting>
  <conditionalFormatting sqref="H37:AF37">
    <cfRule type="expression" dxfId="248" priority="60">
      <formula>$D37="keine Rast"</formula>
    </cfRule>
  </conditionalFormatting>
  <conditionalFormatting sqref="H38:AF38">
    <cfRule type="expression" dxfId="247" priority="59">
      <formula>$D38="keine Rast"</formula>
    </cfRule>
  </conditionalFormatting>
  <conditionalFormatting sqref="H40:AF40">
    <cfRule type="expression" dxfId="246" priority="58">
      <formula>$D40="keine Rast"</formula>
    </cfRule>
  </conditionalFormatting>
  <conditionalFormatting sqref="H41:AF41">
    <cfRule type="expression" dxfId="245" priority="57">
      <formula>$D41="keine Rast"</formula>
    </cfRule>
  </conditionalFormatting>
  <conditionalFormatting sqref="P44:W44">
    <cfRule type="beginsWith" dxfId="244" priority="56" operator="beginsWith" text="Rast">
      <formula>LEFT(P44,LEN("Rast"))="Rast"</formula>
    </cfRule>
  </conditionalFormatting>
  <conditionalFormatting sqref="P45:W45">
    <cfRule type="beginsWith" dxfId="243" priority="55" operator="beginsWith" text="rAST">
      <formula>LEFT(P45,LEN("rAST"))="rAST"</formula>
    </cfRule>
  </conditionalFormatting>
  <conditionalFormatting sqref="P46:W46">
    <cfRule type="beginsWith" dxfId="242" priority="54" operator="beginsWith" text="rAST">
      <formula>LEFT(P46,LEN("rAST"))="rAST"</formula>
    </cfRule>
  </conditionalFormatting>
  <conditionalFormatting sqref="P48:W48">
    <cfRule type="beginsWith" dxfId="241" priority="53" operator="beginsWith" text="rAST">
      <formula>LEFT(P48,LEN("rAST"))="rAST"</formula>
    </cfRule>
  </conditionalFormatting>
  <conditionalFormatting sqref="H44:AF44">
    <cfRule type="expression" dxfId="240" priority="52">
      <formula>$D44="keine Rast"</formula>
    </cfRule>
  </conditionalFormatting>
  <conditionalFormatting sqref="H30:AF30">
    <cfRule type="expression" dxfId="239" priority="51">
      <formula>$D30="keine Rast"</formula>
    </cfRule>
  </conditionalFormatting>
  <conditionalFormatting sqref="H45:AF45">
    <cfRule type="expression" dxfId="238" priority="50">
      <formula>$D45="keine Rast"</formula>
    </cfRule>
  </conditionalFormatting>
  <conditionalFormatting sqref="H46:AF46">
    <cfRule type="expression" dxfId="237" priority="49">
      <formula>$D46="keine Rast"</formula>
    </cfRule>
  </conditionalFormatting>
  <conditionalFormatting sqref="H48:AF48">
    <cfRule type="expression" dxfId="236" priority="48">
      <formula>$D48="keine Rast"</formula>
    </cfRule>
  </conditionalFormatting>
  <conditionalFormatting sqref="H58:AF58 D59:AF59">
    <cfRule type="expression" dxfId="235" priority="3">
      <formula>$D$58="keine 2. Gabe"</formula>
    </cfRule>
  </conditionalFormatting>
  <conditionalFormatting sqref="H61:AF61 D62:AF62">
    <cfRule type="expression" dxfId="234" priority="5">
      <formula>$D$61="keine 3. Gabe"</formula>
    </cfRule>
  </conditionalFormatting>
  <conditionalFormatting sqref="H64:AF64 D65:AF65">
    <cfRule type="expression" dxfId="233" priority="7">
      <formula>$D$64="keine 4. Gabe"</formula>
    </cfRule>
  </conditionalFormatting>
  <conditionalFormatting sqref="H67:AF67 D68:AF68">
    <cfRule type="expression" dxfId="232" priority="6">
      <formula>$D$67="keine 5. Gabe"</formula>
    </cfRule>
  </conditionalFormatting>
  <conditionalFormatting sqref="J55:P55 J58:P58 J61:P61 J64:P64 J67:P67">
    <cfRule type="containsText" dxfId="231" priority="9" operator="containsText" text="&lt;Hopfensorte wählen&gt;">
      <formula>NOT(ISERROR(SEARCH("&lt;Hopfensorte wählen&gt;",J55)))</formula>
    </cfRule>
  </conditionalFormatting>
  <conditionalFormatting sqref="Q55:T55 Q58:T58 Q61:T61 Q64:T64 Q67:T67">
    <cfRule type="containsText" dxfId="230" priority="4" operator="containsText" text="hopfen">
      <formula>NOT(ISERROR(SEARCH("hopfen",Q55)))</formula>
    </cfRule>
  </conditionalFormatting>
  <conditionalFormatting sqref="AA55 AA58 AA61 AA64 AA67 O68 O65 O62 O59 O56">
    <cfRule type="containsText" dxfId="229" priority="8" operator="containsText" text="wählen">
      <formula>NOT(ISERROR(SEARCH("wählen",O55)))</formula>
    </cfRule>
  </conditionalFormatting>
  <conditionalFormatting sqref="AF55 AF58 AF61 AF64 AF67">
    <cfRule type="notContainsBlanks" dxfId="228" priority="885">
      <formula>LEN(TRIM(AF55))&gt;0</formula>
    </cfRule>
  </conditionalFormatting>
  <conditionalFormatting sqref="AC56 AC59 AC62 AC65 AC68 AD70">
    <cfRule type="cellIs" dxfId="227" priority="1" operator="greaterThan">
      <formula>0</formula>
    </cfRule>
  </conditionalFormatting>
  <dataValidations count="13">
    <dataValidation type="list" allowBlank="1" showInputMessage="1" showErrorMessage="1" sqref="AF64 AF58 AF61 AF67 AF55" xr:uid="{00000000-0002-0000-0500-000000000000}">
      <formula1>$AU$55:$AV$55</formula1>
    </dataValidation>
    <dataValidation type="list" allowBlank="1" showInputMessage="1" showErrorMessage="1" sqref="L74:O74" xr:uid="{00000000-0002-0000-0500-000001000000}">
      <formula1>$AR$81:$AU$81</formula1>
    </dataValidation>
    <dataValidation type="list" allowBlank="1" showInputMessage="1" showErrorMessage="1" sqref="Y63 Y76 Y81 Y57 Y60 Y66 Y69 Y71:Y72" xr:uid="{00000000-0002-0000-0500-000005000000}">
      <formula1>#REF!</formula1>
    </dataValidation>
    <dataValidation type="list" allowBlank="1" showInputMessage="1" showErrorMessage="1" sqref="T74:AF74" xr:uid="{00000000-0002-0000-0500-000006000000}">
      <formula1>INDIRECT(L74)</formula1>
    </dataValidation>
    <dataValidation type="list" allowBlank="1" showInputMessage="1" showErrorMessage="1" sqref="L43:P43 L35:P35" xr:uid="{00000000-0002-0000-0500-000007000000}">
      <formula1>"wählen,Dickmaische,Dünnmaische"</formula1>
    </dataValidation>
    <dataValidation type="list" allowBlank="1" showInputMessage="1" showErrorMessage="1" sqref="D30 D31:G32 D36:G38 D40:G41 D44:G46 D48:G48" xr:uid="{00000000-0002-0000-0500-000008000000}">
      <formula1>$I$89:$I$137</formula1>
    </dataValidation>
    <dataValidation type="list" allowBlank="1" showInputMessage="1" showErrorMessage="1" sqref="O28" xr:uid="{00000000-0002-0000-0500-000009000000}">
      <formula1>"Maischverfahren wählen,Infusionsmaischverfahren,Dekoktionsmaischverfahren"</formula1>
    </dataValidation>
    <dataValidation type="list" allowBlank="1" showInputMessage="1" showErrorMessage="1" sqref="O56:T56 O59:T59 O62:T62 O65:T65 O68:T68" xr:uid="{39BC25D0-F051-4563-A190-4BF4B213C5E3}">
      <formula1>"bitte wählen,zur Vorderwürze,nach Würzebruch,im Whirlpool &lt; 80°C"</formula1>
    </dataValidation>
    <dataValidation type="list" allowBlank="1" showInputMessage="1" showErrorMessage="1" sqref="AA55:AC55 AA58:AC58 AA61:AC61 AA64:AC64 AA67:AC67" xr:uid="{EE6F6160-7FB5-4971-99A1-099BE8A8BE8E}">
      <formula1>"wählen,Dolden,Pellets,Extrakt"</formula1>
    </dataValidation>
    <dataValidation type="list" allowBlank="1" showInputMessage="1" showErrorMessage="1" sqref="D58:G58" xr:uid="{047A9286-261E-4638-B144-10BC1960E863}">
      <formula1>"2. Gabe,keine 2. Gabe"</formula1>
    </dataValidation>
    <dataValidation type="list" allowBlank="1" showInputMessage="1" showErrorMessage="1" sqref="D61:G61" xr:uid="{53C48508-17F8-4C2B-B695-535936FC2DB8}">
      <formula1>"3. Gabe,keine 3. Gabe"</formula1>
    </dataValidation>
    <dataValidation type="list" allowBlank="1" showInputMessage="1" showErrorMessage="1" sqref="D64:G64" xr:uid="{4C884AEC-9750-4984-A5D0-8762CF4B1E5E}">
      <formula1>"4. Gabe,keine 4. Gabe"</formula1>
    </dataValidation>
    <dataValidation type="list" allowBlank="1" showInputMessage="1" showErrorMessage="1" sqref="D67:G67" xr:uid="{63D0D093-60BF-4601-8501-1D5390F34CC7}">
      <formula1>"5. Gabe,keine 5. Gabe"</formula1>
    </dataValidation>
  </dataValidations>
  <hyperlinks>
    <hyperlink ref="AL2" location="'4a_sud-journal'!O11" tooltip="Weiter zum Sud-Journal" display="ð" xr:uid="{00000000-0004-0000-0500-000000000000}"/>
    <hyperlink ref="AJ2" location="'2_brief_hza'!AM4" tooltip="zurück zum Brief HZA" display="ï" xr:uid="{00000000-0004-0000-0500-000001000000}"/>
    <hyperlink ref="AK2" location="start!A1" tooltip="zur Startseite" display="ñ" xr:uid="{00000000-0004-0000-0500-000002000000}"/>
    <hyperlink ref="AK3" location="export!A1" tooltip="zur Exportdatei" display="ò" xr:uid="{A38A73E6-EE6E-49D1-9AF2-D9B32F2A83F3}"/>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&amp;L&amp;"Arial,Fett"Seite &amp;P von &amp;N&amp;R&amp;"Arial,Fett"www.bierbrauerei.net</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B000000}">
          <x14:formula1>
            <xm:f>daten!$D$2:$D$59</xm:f>
          </x14:formula1>
          <xm:sqref>D19:L24</xm:sqref>
        </x14:dataValidation>
        <x14:dataValidation type="list" allowBlank="1" showInputMessage="1" showErrorMessage="1" xr:uid="{00000000-0002-0000-0500-00000C000000}">
          <x14:formula1>
            <xm:f>daten!$G$2:$G$141</xm:f>
          </x14:formula1>
          <xm:sqref>U78:AA79 J55 J58 J61 J67 J64</xm:sqref>
        </x14:dataValidation>
        <x14:dataValidation type="list" allowBlank="1" showInputMessage="1" showErrorMessage="1" xr:uid="{00000000-0002-0000-0500-00000D000000}">
          <x14:formula1>
            <xm:f>daten!$B$3:$B$33</xm:f>
          </x14:formula1>
          <xm:sqref>AB6:AG6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U183"/>
  <sheetViews>
    <sheetView showGridLines="0" showRowColHeaders="0" showRuler="0" zoomScale="120" zoomScaleNormal="120" zoomScaleSheetLayoutView="120" zoomScalePageLayoutView="130" workbookViewId="0">
      <pane ySplit="4" topLeftCell="A5" activePane="bottomLeft" state="frozen"/>
      <selection pane="bottomLeft" activeCell="AN2" sqref="AN2:AN3"/>
    </sheetView>
  </sheetViews>
  <sheetFormatPr baseColWidth="10" defaultColWidth="2.88671875" defaultRowHeight="15" customHeight="1" outlineLevelRow="1"/>
  <cols>
    <col min="1" max="1" width="1.109375" style="2" customWidth="1"/>
    <col min="2" max="3" width="0.44140625" style="2" customWidth="1"/>
    <col min="4" max="4" width="3.33203125" style="2" customWidth="1"/>
    <col min="5" max="7" width="2.88671875" style="2" customWidth="1"/>
    <col min="8" max="8" width="1.5546875" style="2" customWidth="1"/>
    <col min="9" max="9" width="3.6640625" style="2" customWidth="1"/>
    <col min="10" max="15" width="2.88671875" style="2" customWidth="1"/>
    <col min="16" max="16" width="3.6640625" style="2" customWidth="1"/>
    <col min="17" max="17" width="3.33203125" style="2" customWidth="1"/>
    <col min="18" max="19" width="2.88671875" style="2" customWidth="1"/>
    <col min="20" max="20" width="2" style="2" customWidth="1"/>
    <col min="21" max="27" width="2.88671875" style="2" customWidth="1"/>
    <col min="28" max="28" width="3.88671875" style="2" customWidth="1"/>
    <col min="29" max="29" width="0.6640625" style="2" customWidth="1"/>
    <col min="30" max="31" width="2.88671875" style="2" customWidth="1"/>
    <col min="32" max="32" width="1.6640625" style="2" customWidth="1"/>
    <col min="33" max="33" width="2.88671875" style="2" customWidth="1"/>
    <col min="34" max="34" width="2.5546875" style="2" customWidth="1"/>
    <col min="35" max="36" width="0.44140625" style="2" customWidth="1"/>
    <col min="37" max="37" width="2.33203125" style="2" customWidth="1"/>
    <col min="38" max="40" width="3.109375" style="2" customWidth="1"/>
    <col min="41" max="41" width="21.6640625" style="2" customWidth="1"/>
    <col min="42" max="42" width="5.5546875" style="2" customWidth="1"/>
    <col min="43" max="43" width="7.44140625" style="2" customWidth="1"/>
    <col min="44" max="44" width="2.88671875" style="2" customWidth="1"/>
    <col min="45" max="45" width="2.88671875" style="2"/>
    <col min="46" max="46" width="5.21875" style="2" hidden="1" customWidth="1"/>
    <col min="47" max="47" width="3.6640625" style="2" hidden="1" customWidth="1"/>
    <col min="48" max="16384" width="2.88671875" style="2"/>
  </cols>
  <sheetData>
    <row r="1" spans="1:47" ht="6" customHeight="1" thickBot="1"/>
    <row r="2" spans="1:47" ht="15" customHeight="1">
      <c r="B2" s="47"/>
      <c r="C2" s="48"/>
      <c r="D2" s="48"/>
      <c r="E2" s="48"/>
      <c r="F2" s="200"/>
      <c r="G2" s="200"/>
      <c r="H2" s="48"/>
      <c r="I2" s="48"/>
      <c r="J2" s="49"/>
      <c r="K2" s="1024" t="s">
        <v>31</v>
      </c>
      <c r="L2" s="1025"/>
      <c r="M2" s="1025"/>
      <c r="N2" s="1025"/>
      <c r="O2" s="1025"/>
      <c r="P2" s="1025"/>
      <c r="Q2" s="1025"/>
      <c r="R2" s="1025"/>
      <c r="S2" s="1025"/>
      <c r="T2" s="1025"/>
      <c r="U2" s="1025"/>
      <c r="V2" s="1025"/>
      <c r="W2" s="1025"/>
      <c r="X2" s="1025"/>
      <c r="Y2" s="1025"/>
      <c r="Z2" s="1026"/>
      <c r="AA2" s="5"/>
      <c r="AB2" s="5"/>
      <c r="AC2" s="860"/>
      <c r="AD2" s="860" t="s">
        <v>15</v>
      </c>
      <c r="AE2" s="1022">
        <f>rechenfibel!AD2</f>
        <v>43590</v>
      </c>
      <c r="AF2" s="1022"/>
      <c r="AG2" s="1022"/>
      <c r="AH2" s="1022"/>
      <c r="AI2" s="1023"/>
      <c r="AL2" s="877" t="s">
        <v>246</v>
      </c>
      <c r="AM2" s="439" t="s">
        <v>832</v>
      </c>
      <c r="AN2" s="879" t="s">
        <v>242</v>
      </c>
    </row>
    <row r="3" spans="1:47" ht="15" customHeight="1" thickBot="1">
      <c r="B3" s="50"/>
      <c r="C3" s="54"/>
      <c r="D3" s="54"/>
      <c r="E3" s="54"/>
      <c r="F3" s="216"/>
      <c r="G3" s="55"/>
      <c r="H3" s="55"/>
      <c r="I3" s="54"/>
      <c r="J3" s="1"/>
      <c r="K3" s="1027"/>
      <c r="L3" s="1028"/>
      <c r="M3" s="1028"/>
      <c r="N3" s="1028"/>
      <c r="O3" s="1028"/>
      <c r="P3" s="1028"/>
      <c r="Q3" s="1028"/>
      <c r="R3" s="1028"/>
      <c r="S3" s="1028"/>
      <c r="T3" s="1028"/>
      <c r="U3" s="1028"/>
      <c r="V3" s="1028"/>
      <c r="W3" s="1028"/>
      <c r="X3" s="1028"/>
      <c r="Y3" s="1028"/>
      <c r="Z3" s="1029"/>
      <c r="AC3" s="3"/>
      <c r="AD3" s="3" t="s">
        <v>22</v>
      </c>
      <c r="AE3" s="881">
        <f>rechenfibel!AD3</f>
        <v>43556</v>
      </c>
      <c r="AF3" s="881"/>
      <c r="AG3" s="881"/>
      <c r="AH3" s="881"/>
      <c r="AI3" s="882"/>
      <c r="AL3" s="878"/>
      <c r="AM3" s="441"/>
      <c r="AN3" s="880"/>
    </row>
    <row r="4" spans="1:47" ht="3.75" customHeight="1" thickBot="1">
      <c r="B4" s="43"/>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row>
    <row r="5" spans="1:47" s="9" customFormat="1" ht="2.25" customHeight="1">
      <c r="B5" s="7"/>
      <c r="AI5" s="8"/>
    </row>
    <row r="6" spans="1:47" ht="13.95" customHeight="1">
      <c r="B6" s="10"/>
      <c r="C6" s="1035" t="str">
        <f>IF(ISBLANK('3_rezeptkarte'!C6),"",'3_rezeptkarte'!C6)</f>
        <v/>
      </c>
      <c r="D6" s="1035"/>
      <c r="E6" s="1035"/>
      <c r="F6" s="1035"/>
      <c r="G6" s="1035"/>
      <c r="H6" s="1035"/>
      <c r="I6" s="1035"/>
      <c r="J6" s="1035"/>
      <c r="K6" s="1035"/>
      <c r="L6" s="1035"/>
      <c r="M6" s="141"/>
      <c r="N6" s="141"/>
      <c r="O6" s="3" t="s">
        <v>70</v>
      </c>
      <c r="P6" s="1030" t="str">
        <f>IF(ISBLANK('1_vorbereitung'!F6),"",'1_vorbereitung'!F6)</f>
        <v/>
      </c>
      <c r="Q6" s="1030"/>
      <c r="R6" s="1030"/>
      <c r="S6" s="1030"/>
      <c r="V6" s="3" t="s">
        <v>0</v>
      </c>
      <c r="W6" s="989" t="str">
        <f>IF(ISBLANK('1_vorbereitung'!M6),"",'1_vorbereitung'!M6)</f>
        <v/>
      </c>
      <c r="X6" s="989"/>
      <c r="Y6" s="989"/>
      <c r="AA6" s="3" t="s">
        <v>55</v>
      </c>
      <c r="AB6" s="1002" t="str">
        <f>'3_rezeptkarte'!AB6</f>
        <v>Bitte wählen!</v>
      </c>
      <c r="AC6" s="1002"/>
      <c r="AD6" s="1002"/>
      <c r="AE6" s="1002"/>
      <c r="AF6" s="1002"/>
      <c r="AG6" s="1002"/>
      <c r="AH6" s="1002"/>
      <c r="AI6" s="11"/>
      <c r="AT6" s="254"/>
      <c r="AU6" s="256"/>
    </row>
    <row r="7" spans="1:47" s="9" customFormat="1" ht="2.25" customHeight="1">
      <c r="B7" s="7"/>
      <c r="AI7" s="8"/>
      <c r="AT7" s="257"/>
      <c r="AU7" s="259"/>
    </row>
    <row r="8" spans="1:47" s="9" customFormat="1" ht="2.25" customHeight="1">
      <c r="A8" s="9">
        <v>3</v>
      </c>
      <c r="B8" s="7"/>
      <c r="C8" s="660"/>
      <c r="D8" s="649"/>
      <c r="E8" s="649"/>
      <c r="F8" s="649"/>
      <c r="G8" s="649"/>
      <c r="H8" s="649"/>
      <c r="I8" s="649"/>
      <c r="J8" s="649"/>
      <c r="K8" s="649"/>
      <c r="L8" s="649"/>
      <c r="M8" s="649"/>
      <c r="N8" s="649"/>
      <c r="O8" s="649"/>
      <c r="P8" s="649"/>
      <c r="Q8" s="650"/>
      <c r="R8" s="28"/>
      <c r="S8" s="28"/>
      <c r="T8" s="28"/>
      <c r="U8" s="28"/>
      <c r="V8" s="28"/>
      <c r="W8" s="28"/>
      <c r="X8" s="28"/>
      <c r="Y8" s="28"/>
      <c r="Z8" s="28"/>
      <c r="AA8" s="28"/>
      <c r="AB8" s="28"/>
      <c r="AC8" s="28"/>
      <c r="AD8" s="28"/>
      <c r="AE8" s="28"/>
      <c r="AF8" s="28"/>
      <c r="AG8" s="28"/>
      <c r="AH8" s="28"/>
      <c r="AI8" s="8"/>
      <c r="AT8" s="257"/>
      <c r="AU8" s="259"/>
    </row>
    <row r="9" spans="1:47" s="9" customFormat="1" ht="12.75" customHeight="1">
      <c r="B9" s="7"/>
      <c r="C9" s="661"/>
      <c r="D9" s="527" t="s">
        <v>21</v>
      </c>
      <c r="E9" s="680" t="s">
        <v>272</v>
      </c>
      <c r="F9" s="653"/>
      <c r="G9" s="653"/>
      <c r="H9" s="653"/>
      <c r="I9" s="653"/>
      <c r="J9" s="653"/>
      <c r="K9" s="1044">
        <f>'3_rezeptkarte'!X13</f>
        <v>0</v>
      </c>
      <c r="L9" s="1044"/>
      <c r="M9" s="653" t="s">
        <v>5</v>
      </c>
      <c r="N9" s="681" t="s">
        <v>242</v>
      </c>
      <c r="O9" s="1040" t="str">
        <f>'3_rezeptkarte'!AB13</f>
        <v/>
      </c>
      <c r="P9" s="1040"/>
      <c r="Q9" s="657" t="s">
        <v>877</v>
      </c>
      <c r="R9" s="28"/>
      <c r="S9" s="1042">
        <f>'3_rezeptkarte'!U18</f>
        <v>0</v>
      </c>
      <c r="T9" s="1042"/>
      <c r="U9" s="1042"/>
      <c r="V9" s="1042"/>
      <c r="W9" s="1042"/>
      <c r="X9" s="1042"/>
      <c r="Y9" s="1042"/>
      <c r="Z9" s="1042"/>
      <c r="AA9" s="1042"/>
      <c r="AB9" s="1042"/>
      <c r="AC9" s="1042"/>
      <c r="AD9" s="1042"/>
      <c r="AE9" s="28"/>
      <c r="AF9" s="28"/>
      <c r="AG9" s="120"/>
      <c r="AH9" s="28"/>
      <c r="AI9" s="8"/>
      <c r="AL9" s="141"/>
      <c r="AT9" s="257"/>
      <c r="AU9" s="259"/>
    </row>
    <row r="10" spans="1:47" s="9" customFormat="1" ht="12.75" customHeight="1">
      <c r="B10" s="7"/>
      <c r="C10" s="661"/>
      <c r="D10" s="653"/>
      <c r="E10" s="680"/>
      <c r="F10" s="653"/>
      <c r="G10" s="653"/>
      <c r="H10" s="653"/>
      <c r="I10" s="653"/>
      <c r="J10" s="653"/>
      <c r="K10" s="653"/>
      <c r="L10" s="653"/>
      <c r="M10" s="653"/>
      <c r="N10" s="681"/>
      <c r="O10" s="653"/>
      <c r="P10" s="681"/>
      <c r="Q10" s="657"/>
      <c r="R10" s="28"/>
      <c r="S10" s="1042"/>
      <c r="T10" s="1042"/>
      <c r="U10" s="1042"/>
      <c r="V10" s="1042"/>
      <c r="W10" s="1042"/>
      <c r="X10" s="1042"/>
      <c r="Y10" s="1042"/>
      <c r="Z10" s="1042"/>
      <c r="AA10" s="1042"/>
      <c r="AB10" s="1042"/>
      <c r="AC10" s="1042"/>
      <c r="AD10" s="1042"/>
      <c r="AE10" s="28"/>
      <c r="AF10" s="28"/>
      <c r="AG10" s="120"/>
      <c r="AH10" s="28"/>
      <c r="AI10" s="8"/>
      <c r="AL10" s="141"/>
      <c r="AT10" s="257"/>
      <c r="AU10" s="259"/>
    </row>
    <row r="11" spans="1:47" s="9" customFormat="1" ht="12.75" customHeight="1">
      <c r="B11" s="7"/>
      <c r="C11" s="673"/>
      <c r="D11" s="530" t="s">
        <v>21</v>
      </c>
      <c r="E11" s="680" t="s">
        <v>273</v>
      </c>
      <c r="F11" s="653"/>
      <c r="G11" s="653"/>
      <c r="H11" s="653"/>
      <c r="I11" s="653"/>
      <c r="J11" s="653"/>
      <c r="K11" s="653"/>
      <c r="L11" s="653"/>
      <c r="M11" s="682"/>
      <c r="N11" s="682" t="s">
        <v>938</v>
      </c>
      <c r="O11" s="892"/>
      <c r="P11" s="892"/>
      <c r="Q11" s="657" t="s">
        <v>39</v>
      </c>
      <c r="R11" s="28"/>
      <c r="S11" s="1042"/>
      <c r="T11" s="1042"/>
      <c r="U11" s="1042"/>
      <c r="V11" s="1042"/>
      <c r="W11" s="1042"/>
      <c r="X11" s="1042"/>
      <c r="Y11" s="1042"/>
      <c r="Z11" s="1042"/>
      <c r="AA11" s="1042"/>
      <c r="AB11" s="1042"/>
      <c r="AC11" s="1042"/>
      <c r="AD11" s="1042"/>
      <c r="AE11" s="28"/>
      <c r="AF11" s="28"/>
      <c r="AG11" s="120"/>
      <c r="AH11" s="28"/>
      <c r="AI11" s="8"/>
      <c r="AT11" s="257"/>
      <c r="AU11" s="259"/>
    </row>
    <row r="12" spans="1:47" s="9" customFormat="1" ht="12.75" customHeight="1">
      <c r="B12" s="7"/>
      <c r="C12" s="661"/>
      <c r="D12" s="653"/>
      <c r="E12" s="653"/>
      <c r="F12" s="653"/>
      <c r="G12" s="683"/>
      <c r="H12" s="653"/>
      <c r="I12" s="683"/>
      <c r="J12" s="683"/>
      <c r="K12" s="683"/>
      <c r="L12" s="653"/>
      <c r="M12" s="682" t="s">
        <v>20</v>
      </c>
      <c r="N12" s="681" t="s">
        <v>242</v>
      </c>
      <c r="O12" s="1003" t="str">
        <f>IF(ISERROR(('3_rezeptkarte'!X11*(100-O11)*'3_rezeptkarte'!M13)/(O11*100)),"",('3_rezeptkarte'!X11*(100-O11)*'3_rezeptkarte'!M13)/(O11*100))</f>
        <v/>
      </c>
      <c r="P12" s="1003"/>
      <c r="Q12" s="657" t="s">
        <v>875</v>
      </c>
      <c r="R12" s="28"/>
      <c r="S12" s="1042"/>
      <c r="T12" s="1042"/>
      <c r="U12" s="1042"/>
      <c r="V12" s="1042"/>
      <c r="W12" s="1042"/>
      <c r="X12" s="1042"/>
      <c r="Y12" s="1042"/>
      <c r="Z12" s="1042"/>
      <c r="AA12" s="1042"/>
      <c r="AB12" s="1042"/>
      <c r="AC12" s="1042"/>
      <c r="AD12" s="1042"/>
      <c r="AE12" s="28"/>
      <c r="AF12" s="28"/>
      <c r="AG12" s="28"/>
      <c r="AH12" s="28"/>
      <c r="AI12" s="8"/>
      <c r="AT12" s="257"/>
      <c r="AU12" s="259"/>
    </row>
    <row r="13" spans="1:47" s="9" customFormat="1" ht="12.75" customHeight="1">
      <c r="B13" s="7"/>
      <c r="C13" s="661"/>
      <c r="D13" s="653"/>
      <c r="E13" s="653"/>
      <c r="F13" s="653"/>
      <c r="G13" s="683"/>
      <c r="H13" s="653"/>
      <c r="I13" s="683"/>
      <c r="J13" s="683"/>
      <c r="K13" s="683"/>
      <c r="L13" s="653"/>
      <c r="M13" s="682"/>
      <c r="N13" s="681"/>
      <c r="O13" s="653"/>
      <c r="P13" s="653"/>
      <c r="Q13" s="657"/>
      <c r="R13" s="28"/>
      <c r="S13" s="1042"/>
      <c r="T13" s="1042"/>
      <c r="U13" s="1042"/>
      <c r="V13" s="1042"/>
      <c r="W13" s="1042"/>
      <c r="X13" s="1042"/>
      <c r="Y13" s="1042"/>
      <c r="Z13" s="1042"/>
      <c r="AA13" s="1042"/>
      <c r="AB13" s="1042"/>
      <c r="AC13" s="1042"/>
      <c r="AD13" s="1042"/>
      <c r="AE13" s="28"/>
      <c r="AF13" s="28"/>
      <c r="AG13" s="28"/>
      <c r="AH13" s="28"/>
      <c r="AI13" s="8"/>
      <c r="AT13" s="257"/>
      <c r="AU13" s="259"/>
    </row>
    <row r="14" spans="1:47" s="9" customFormat="1" ht="12.6" customHeight="1">
      <c r="B14" s="7"/>
      <c r="C14" s="661"/>
      <c r="D14" s="530" t="s">
        <v>21</v>
      </c>
      <c r="E14" s="680" t="s">
        <v>52</v>
      </c>
      <c r="F14" s="653"/>
      <c r="G14" s="653"/>
      <c r="H14" s="653"/>
      <c r="I14" s="653"/>
      <c r="J14" s="653"/>
      <c r="K14" s="653"/>
      <c r="L14" s="653"/>
      <c r="M14" s="684"/>
      <c r="N14" s="681" t="s">
        <v>242</v>
      </c>
      <c r="O14" s="1014" t="str">
        <f>IF(ISERROR(O12+('3_rezeptkarte'!M13*0.7)),"", O12+('3_rezeptkarte'!M13*0.7))</f>
        <v/>
      </c>
      <c r="P14" s="1014"/>
      <c r="Q14" s="657" t="s">
        <v>875</v>
      </c>
      <c r="R14" s="28"/>
      <c r="S14" s="1042"/>
      <c r="T14" s="1042"/>
      <c r="U14" s="1042"/>
      <c r="V14" s="1042"/>
      <c r="W14" s="1042"/>
      <c r="X14" s="1042"/>
      <c r="Y14" s="1042"/>
      <c r="Z14" s="1042"/>
      <c r="AA14" s="1042"/>
      <c r="AB14" s="1042"/>
      <c r="AC14" s="1042"/>
      <c r="AD14" s="1042"/>
      <c r="AE14" s="1209"/>
      <c r="AF14" s="1209"/>
      <c r="AG14" s="1209"/>
      <c r="AH14" s="28"/>
      <c r="AI14" s="8"/>
      <c r="AT14" s="257"/>
      <c r="AU14" s="259"/>
    </row>
    <row r="15" spans="1:47" s="9" customFormat="1" ht="2.25" customHeight="1">
      <c r="B15" s="7"/>
      <c r="C15" s="664"/>
      <c r="D15" s="655"/>
      <c r="E15" s="655"/>
      <c r="F15" s="655"/>
      <c r="G15" s="655"/>
      <c r="H15" s="655"/>
      <c r="I15" s="655"/>
      <c r="J15" s="655"/>
      <c r="K15" s="655"/>
      <c r="L15" s="655"/>
      <c r="M15" s="655"/>
      <c r="N15" s="655"/>
      <c r="O15" s="655"/>
      <c r="P15" s="655"/>
      <c r="Q15" s="658"/>
      <c r="R15" s="28"/>
      <c r="S15" s="1042"/>
      <c r="T15" s="1042"/>
      <c r="U15" s="1042"/>
      <c r="V15" s="1042"/>
      <c r="W15" s="1042"/>
      <c r="X15" s="1042"/>
      <c r="Y15" s="1042"/>
      <c r="Z15" s="1042"/>
      <c r="AA15" s="1042"/>
      <c r="AB15" s="1042"/>
      <c r="AC15" s="1042"/>
      <c r="AD15" s="1042"/>
      <c r="AE15" s="1209"/>
      <c r="AF15" s="1209"/>
      <c r="AG15" s="1209"/>
      <c r="AH15" s="28"/>
      <c r="AI15" s="8"/>
      <c r="AT15" s="257"/>
      <c r="AU15" s="259"/>
    </row>
    <row r="16" spans="1:47" s="9" customFormat="1" ht="2.25" customHeight="1">
      <c r="B16" s="7"/>
      <c r="AI16" s="8"/>
      <c r="AT16" s="257"/>
      <c r="AU16" s="259"/>
    </row>
    <row r="17" spans="2:47" s="9" customFormat="1" ht="2.25" customHeight="1">
      <c r="B17" s="7"/>
      <c r="C17" s="227"/>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9"/>
      <c r="AI17" s="8"/>
      <c r="AK17" s="660"/>
      <c r="AL17" s="649"/>
      <c r="AM17" s="649"/>
      <c r="AN17" s="649"/>
      <c r="AO17" s="649"/>
      <c r="AP17" s="649"/>
      <c r="AQ17" s="650"/>
      <c r="AT17" s="257"/>
      <c r="AU17" s="259"/>
    </row>
    <row r="18" spans="2:47" ht="14.4" customHeight="1">
      <c r="B18" s="10"/>
      <c r="C18" s="34"/>
      <c r="D18" s="225" t="s">
        <v>287</v>
      </c>
      <c r="I18" s="1017" t="str">
        <f>'3_rezeptkarte'!Q19</f>
        <v/>
      </c>
      <c r="J18" s="1017"/>
      <c r="K18" s="1002" t="str">
        <f>'3_rezeptkarte'!D19</f>
        <v>&lt;Malzsorte wählen&gt;</v>
      </c>
      <c r="L18" s="1002"/>
      <c r="M18" s="1002"/>
      <c r="N18" s="1002"/>
      <c r="O18" s="1002"/>
      <c r="P18" s="1002"/>
      <c r="Q18" s="1002"/>
      <c r="R18" s="1002"/>
      <c r="S18" s="1214"/>
      <c r="T18" s="9"/>
      <c r="U18" s="1017" t="str">
        <f>'3_rezeptkarte'!Q20</f>
        <v/>
      </c>
      <c r="V18" s="1017"/>
      <c r="W18" s="1017"/>
      <c r="X18" s="1002" t="str">
        <f>IF(ISBLANK('3_rezeptkarte'!D20),"",'3_rezeptkarte'!D20)</f>
        <v>&lt;Malzsorte wählen&gt;</v>
      </c>
      <c r="Y18" s="1002"/>
      <c r="Z18" s="1002"/>
      <c r="AA18" s="1002"/>
      <c r="AB18" s="1002"/>
      <c r="AC18" s="1002"/>
      <c r="AD18" s="1002"/>
      <c r="AE18" s="1002"/>
      <c r="AF18" s="1002"/>
      <c r="AG18" s="1214"/>
      <c r="AH18" s="35"/>
      <c r="AI18" s="11"/>
      <c r="AK18" s="661" t="s">
        <v>825</v>
      </c>
      <c r="AL18" s="662"/>
      <c r="AM18" s="662"/>
      <c r="AN18" s="663"/>
      <c r="AO18" s="663"/>
      <c r="AP18" s="692">
        <v>-0.5</v>
      </c>
      <c r="AQ18" s="657" t="s">
        <v>826</v>
      </c>
      <c r="AT18" s="257"/>
      <c r="AU18" s="259"/>
    </row>
    <row r="19" spans="2:47" ht="14.25" customHeight="1">
      <c r="B19" s="10"/>
      <c r="C19" s="34"/>
      <c r="D19" s="225"/>
      <c r="I19" s="1031" t="str">
        <f>IF(ISERROR('3_rezeptkarte'!Q21),"",'3_rezeptkarte'!Q21)</f>
        <v/>
      </c>
      <c r="J19" s="1031"/>
      <c r="K19" s="1015" t="str">
        <f>IF(ISBLANK('3_rezeptkarte'!D21),"",'3_rezeptkarte'!D21)</f>
        <v>&lt;Malzsorte wählen&gt;</v>
      </c>
      <c r="L19" s="1015"/>
      <c r="M19" s="1015"/>
      <c r="N19" s="1015"/>
      <c r="O19" s="1015"/>
      <c r="P19" s="1015"/>
      <c r="Q19" s="1015"/>
      <c r="R19" s="1015"/>
      <c r="S19" s="1215"/>
      <c r="T19" s="9"/>
      <c r="U19" s="1031" t="str">
        <f>'3_rezeptkarte'!Q22</f>
        <v/>
      </c>
      <c r="V19" s="1031"/>
      <c r="W19" s="1031"/>
      <c r="X19" s="1015" t="str">
        <f>IF(ISBLANK('3_rezeptkarte'!D22),"",'3_rezeptkarte'!D22)</f>
        <v>&lt;Malzsorte wählen&gt;</v>
      </c>
      <c r="Y19" s="1015"/>
      <c r="Z19" s="1015"/>
      <c r="AA19" s="1015"/>
      <c r="AB19" s="1015"/>
      <c r="AC19" s="1015"/>
      <c r="AD19" s="1015"/>
      <c r="AE19" s="1015"/>
      <c r="AF19" s="1015"/>
      <c r="AG19" s="1216"/>
      <c r="AH19" s="35"/>
      <c r="AI19" s="11"/>
      <c r="AK19" s="661" t="s">
        <v>828</v>
      </c>
      <c r="AL19" s="662"/>
      <c r="AM19" s="662"/>
      <c r="AN19" s="651"/>
      <c r="AO19" s="651"/>
      <c r="AP19" s="693">
        <v>1.7</v>
      </c>
      <c r="AQ19" s="657" t="s">
        <v>823</v>
      </c>
      <c r="AT19" s="257"/>
      <c r="AU19" s="259"/>
    </row>
    <row r="20" spans="2:47" ht="14.25" customHeight="1">
      <c r="B20" s="10"/>
      <c r="C20" s="34"/>
      <c r="D20" s="225"/>
      <c r="I20" s="1031" t="str">
        <f>'3_rezeptkarte'!Q23</f>
        <v/>
      </c>
      <c r="J20" s="1031"/>
      <c r="K20" s="1015" t="str">
        <f>IF(ISBLANK('3_rezeptkarte'!D23),"",'3_rezeptkarte'!D23)</f>
        <v>&lt;Malzsorte wählen&gt;</v>
      </c>
      <c r="L20" s="1015"/>
      <c r="M20" s="1015"/>
      <c r="N20" s="1015"/>
      <c r="O20" s="1015"/>
      <c r="P20" s="1015"/>
      <c r="Q20" s="1015"/>
      <c r="R20" s="1015"/>
      <c r="S20" s="1216"/>
      <c r="T20" s="9"/>
      <c r="U20" s="1031" t="str">
        <f>'3_rezeptkarte'!Q24</f>
        <v/>
      </c>
      <c r="V20" s="1031"/>
      <c r="W20" s="1031"/>
      <c r="X20" s="1015" t="str">
        <f>IF(ISBLANK('3_rezeptkarte'!D24),"",'3_rezeptkarte'!D24)</f>
        <v>&lt;Malzsorte wählen&gt;</v>
      </c>
      <c r="Y20" s="1015"/>
      <c r="Z20" s="1015"/>
      <c r="AA20" s="1015"/>
      <c r="AB20" s="1015"/>
      <c r="AC20" s="1015"/>
      <c r="AD20" s="1015"/>
      <c r="AE20" s="1015"/>
      <c r="AF20" s="1015"/>
      <c r="AG20" s="1216"/>
      <c r="AH20" s="35"/>
      <c r="AI20" s="11"/>
      <c r="AK20" s="661" t="s">
        <v>824</v>
      </c>
      <c r="AL20" s="662"/>
      <c r="AM20" s="662"/>
      <c r="AN20" s="651"/>
      <c r="AO20" s="651"/>
      <c r="AP20" s="694">
        <v>4.1859999999999999</v>
      </c>
      <c r="AQ20" s="657" t="s">
        <v>823</v>
      </c>
      <c r="AT20" s="257"/>
      <c r="AU20" s="259"/>
    </row>
    <row r="21" spans="2:47" s="9" customFormat="1" ht="2.25" customHeight="1">
      <c r="B21" s="7"/>
      <c r="C21" s="230"/>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31"/>
      <c r="AI21" s="8"/>
      <c r="AK21" s="661"/>
      <c r="AL21" s="653"/>
      <c r="AM21" s="653"/>
      <c r="AN21" s="653"/>
      <c r="AO21" s="653"/>
      <c r="AP21" s="653"/>
      <c r="AQ21" s="657"/>
      <c r="AT21" s="257"/>
      <c r="AU21" s="259"/>
    </row>
    <row r="22" spans="2:47" s="9" customFormat="1" ht="2.25" customHeight="1">
      <c r="B22" s="7"/>
      <c r="AI22" s="8"/>
      <c r="AK22" s="661"/>
      <c r="AL22" s="653"/>
      <c r="AM22" s="653"/>
      <c r="AN22" s="653"/>
      <c r="AO22" s="653"/>
      <c r="AP22" s="653"/>
      <c r="AQ22" s="657"/>
      <c r="AT22" s="257"/>
      <c r="AU22" s="259"/>
    </row>
    <row r="23" spans="2:47" s="9" customFormat="1" ht="2.25" customHeight="1">
      <c r="B23" s="7"/>
      <c r="C23" s="227"/>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649"/>
      <c r="AD23" s="649"/>
      <c r="AE23" s="649"/>
      <c r="AF23" s="649"/>
      <c r="AG23" s="649"/>
      <c r="AH23" s="650"/>
      <c r="AI23" s="8"/>
      <c r="AK23" s="661"/>
      <c r="AL23" s="653"/>
      <c r="AM23" s="653"/>
      <c r="AN23" s="653"/>
      <c r="AO23" s="653"/>
      <c r="AP23" s="653"/>
      <c r="AQ23" s="657"/>
      <c r="AT23" s="257"/>
      <c r="AU23" s="259"/>
    </row>
    <row r="24" spans="2:47" ht="14.25" customHeight="1">
      <c r="B24" s="10"/>
      <c r="C24" s="34"/>
      <c r="D24" s="225" t="s">
        <v>277</v>
      </c>
      <c r="J24" s="1002" t="str">
        <f>'3_rezeptkarte'!O28</f>
        <v>Maischverfahren wählen</v>
      </c>
      <c r="K24" s="1002"/>
      <c r="L24" s="1002"/>
      <c r="M24" s="1002"/>
      <c r="N24" s="1002"/>
      <c r="O24" s="1002"/>
      <c r="P24" s="1002"/>
      <c r="Q24" s="1002"/>
      <c r="U24" s="3" t="s">
        <v>20</v>
      </c>
      <c r="V24" s="1019" t="str">
        <f>O12</f>
        <v/>
      </c>
      <c r="W24" s="1019"/>
      <c r="X24" s="2" t="s">
        <v>1</v>
      </c>
      <c r="AA24" s="158"/>
      <c r="AB24" s="158"/>
      <c r="AC24" s="651"/>
      <c r="AD24" s="527" t="s">
        <v>21</v>
      </c>
      <c r="AE24" s="651"/>
      <c r="AF24" s="651"/>
      <c r="AG24" s="651"/>
      <c r="AH24" s="657"/>
      <c r="AI24" s="11"/>
      <c r="AK24" s="661"/>
      <c r="AL24" s="653"/>
      <c r="AM24" s="653"/>
      <c r="AN24" s="653"/>
      <c r="AO24" s="653"/>
      <c r="AP24" s="653"/>
      <c r="AQ24" s="657"/>
      <c r="AT24" s="257"/>
      <c r="AU24" s="259"/>
    </row>
    <row r="25" spans="2:47" ht="2.25" customHeight="1">
      <c r="B25" s="10"/>
      <c r="C25" s="34"/>
      <c r="D25" s="225"/>
      <c r="AC25" s="651"/>
      <c r="AD25" s="651"/>
      <c r="AE25" s="651"/>
      <c r="AF25" s="651"/>
      <c r="AG25" s="651"/>
      <c r="AH25" s="656"/>
      <c r="AI25" s="11"/>
      <c r="AK25" s="661"/>
      <c r="AL25" s="662"/>
      <c r="AM25" s="662"/>
      <c r="AN25" s="663"/>
      <c r="AO25" s="663"/>
      <c r="AP25" s="663"/>
      <c r="AQ25" s="657"/>
      <c r="AT25" s="257"/>
      <c r="AU25" s="259"/>
    </row>
    <row r="26" spans="2:47" ht="14.25" customHeight="1">
      <c r="B26" s="10"/>
      <c r="C26" s="34"/>
      <c r="D26" s="16" t="s">
        <v>820</v>
      </c>
      <c r="E26" s="16"/>
      <c r="L26" s="3" t="s">
        <v>817</v>
      </c>
      <c r="M26" s="998"/>
      <c r="N26" s="998"/>
      <c r="O26" s="2" t="s">
        <v>3</v>
      </c>
      <c r="Q26" s="892"/>
      <c r="R26" s="892"/>
      <c r="S26" s="2" t="s">
        <v>1</v>
      </c>
      <c r="U26" s="3" t="s">
        <v>8</v>
      </c>
      <c r="V26" s="957"/>
      <c r="W26" s="957"/>
      <c r="X26" s="2" t="s">
        <v>4</v>
      </c>
      <c r="Y26" s="18" t="s">
        <v>14</v>
      </c>
      <c r="Z26" s="1020"/>
      <c r="AA26" s="1020"/>
      <c r="AB26" s="26"/>
      <c r="AC26" s="652"/>
      <c r="AD26" s="1012"/>
      <c r="AE26" s="1012"/>
      <c r="AF26" s="687" t="s">
        <v>827</v>
      </c>
      <c r="AG26" s="690" t="str">
        <f>IF(ISERROR((V27*(V24+'3_rezeptkarte'!M13+AD26)*AP27-(V24+'3_rezeptkarte'!M13)*AP26*(V26+$AP$18))/(AD26*$AP$20)),"",(V27*(V24+'3_rezeptkarte'!M13+AD26)*AP27-(V24+'3_rezeptkarte'!M13)*AP26*(V26+$AP$18))/(AD26*$AP$20))</f>
        <v/>
      </c>
      <c r="AH26" s="659" t="s">
        <v>4</v>
      </c>
      <c r="AI26" s="11"/>
      <c r="AK26" s="661" t="str">
        <f>CONCATENATE("spez. Wärmekapazität nach ",D26)</f>
        <v>spez. Wärmekapazität nach Gesamtmaische</v>
      </c>
      <c r="AL26" s="662"/>
      <c r="AM26" s="662"/>
      <c r="AN26" s="663"/>
      <c r="AO26" s="663"/>
      <c r="AP26" s="1210" t="str">
        <f>IF(ISERROR(('3_rezeptkarte'!M13*AP19+V24*AP20)/('3_rezeptkarte'!M13+V24)),"",('3_rezeptkarte'!M13*AP19+V24*AP20)/('3_rezeptkarte'!M13+V24))</f>
        <v/>
      </c>
      <c r="AQ26" s="657" t="s">
        <v>823</v>
      </c>
      <c r="AT26" s="257"/>
      <c r="AU26" s="259"/>
    </row>
    <row r="27" spans="2:47" ht="14.25" customHeight="1">
      <c r="B27" s="10"/>
      <c r="C27" s="34"/>
      <c r="D27" s="1002" t="str">
        <f>'3_rezeptkarte'!P30</f>
        <v>Rast</v>
      </c>
      <c r="E27" s="1002"/>
      <c r="F27" s="1002"/>
      <c r="G27" s="1002"/>
      <c r="H27" s="1002"/>
      <c r="I27" s="1002"/>
      <c r="J27" s="1002"/>
      <c r="K27" s="22"/>
      <c r="L27" s="3" t="s">
        <v>24</v>
      </c>
      <c r="M27" s="1032"/>
      <c r="N27" s="1033"/>
      <c r="O27" s="24" t="s">
        <v>818</v>
      </c>
      <c r="Q27" s="1004">
        <f>IF(ISERROR(M27+AA27),"",M27+AA27)</f>
        <v>0</v>
      </c>
      <c r="R27" s="1005"/>
      <c r="S27" s="24" t="s">
        <v>3</v>
      </c>
      <c r="U27" s="3" t="s">
        <v>11</v>
      </c>
      <c r="V27" s="1003" t="str">
        <f>IF(D27="Rast","0",IF(D27="-","",'3_rezeptkarte'!D30))</f>
        <v>0</v>
      </c>
      <c r="W27" s="1003"/>
      <c r="X27" s="24" t="s">
        <v>4</v>
      </c>
      <c r="Z27" s="3" t="s">
        <v>40</v>
      </c>
      <c r="AA27" s="679">
        <f>IF(ISBLANK('3_rezeptkarte'!AR30),"",'3_rezeptkarte'!AR30)</f>
        <v>0</v>
      </c>
      <c r="AB27" s="24" t="s">
        <v>62</v>
      </c>
      <c r="AC27" s="654"/>
      <c r="AD27" s="1016"/>
      <c r="AE27" s="1016"/>
      <c r="AF27" s="688" t="s">
        <v>827</v>
      </c>
      <c r="AG27" s="691" t="str">
        <f>IF(ISERROR((V28*($V$24+'3_rezeptkarte'!M13+$AD$26+$AD$27)*AP28-($V$24+'3_rezeptkarte'!M13+$AD$26)*AP27*(V27+$AP$18))/(AD27*$AP$20)),"",(V28*($V$24+'3_rezeptkarte'!M13+$AD$26+$AD$27)*AP28-($V$24+'3_rezeptkarte'!M13+$AD$26)*AP27*(V27+$AP$18))/(AD27*$AP$20))</f>
        <v/>
      </c>
      <c r="AH27" s="648" t="s">
        <v>4</v>
      </c>
      <c r="AI27" s="11"/>
      <c r="AK27" s="661" t="str">
        <f>CONCATENATE("spez. Wärmekapazität nach ",D27)</f>
        <v>spez. Wärmekapazität nach Rast</v>
      </c>
      <c r="AL27" s="662"/>
      <c r="AM27" s="662"/>
      <c r="AN27" s="663"/>
      <c r="AO27" s="663"/>
      <c r="AP27" s="1211" t="str">
        <f>IF(ISERROR((($V$24+'3_rezeptkarte'!M13)*$AP$26+AD26*$AP$20)/($V$24+'3_rezeptkarte'!M13+AD26)),"",(($V$24+'3_rezeptkarte'!M13)*$AP$26+AD26*$AP$20)/($V$24+'3_rezeptkarte'!M13+AD26))</f>
        <v/>
      </c>
      <c r="AQ27" s="657" t="s">
        <v>823</v>
      </c>
      <c r="AT27" s="257"/>
      <c r="AU27" s="259"/>
    </row>
    <row r="28" spans="2:47" ht="14.25" customHeight="1">
      <c r="B28" s="10"/>
      <c r="C28" s="34"/>
      <c r="D28" s="1041" t="str">
        <f>'3_rezeptkarte'!P31</f>
        <v>Rast</v>
      </c>
      <c r="E28" s="1015"/>
      <c r="F28" s="1015"/>
      <c r="G28" s="1015"/>
      <c r="H28" s="1015"/>
      <c r="I28" s="1015"/>
      <c r="J28" s="1015"/>
      <c r="K28" s="22"/>
      <c r="L28" s="3" t="s">
        <v>24</v>
      </c>
      <c r="M28" s="1032"/>
      <c r="N28" s="1033"/>
      <c r="O28" s="24" t="s">
        <v>818</v>
      </c>
      <c r="Q28" s="1004">
        <f>IF(ISERROR(M28+AA28),"",M28+AA28)</f>
        <v>0</v>
      </c>
      <c r="R28" s="1005"/>
      <c r="S28" s="24" t="s">
        <v>3</v>
      </c>
      <c r="U28" s="3" t="s">
        <v>11</v>
      </c>
      <c r="V28" s="1003" t="str">
        <f>IF(D28="Rast","0",IF(D28="-","",'3_rezeptkarte'!D31))</f>
        <v>0</v>
      </c>
      <c r="W28" s="1003"/>
      <c r="X28" s="24" t="s">
        <v>4</v>
      </c>
      <c r="Z28" s="3" t="s">
        <v>40</v>
      </c>
      <c r="AA28" s="679">
        <f>IF(ISBLANK('3_rezeptkarte'!AR31),"",'3_rezeptkarte'!AR31)</f>
        <v>0</v>
      </c>
      <c r="AB28" s="24" t="s">
        <v>62</v>
      </c>
      <c r="AC28" s="654"/>
      <c r="AD28" s="1016"/>
      <c r="AE28" s="1016"/>
      <c r="AF28" s="688" t="s">
        <v>827</v>
      </c>
      <c r="AG28" s="691" t="str">
        <f>IF(ISERROR((V29*($V$24+'3_rezeptkarte'!M13+$AD$26+$AD$27+$AD$28)*AP29-($V$24+'3_rezeptkarte'!M13+$AD$26+$AD$27)*AP28*(V28+$AP$18))/(AD28*$AP$20)),"",(V29*($V$24+'3_rezeptkarte'!M13+$AD$26+$AD$27+$AD$28)*AP29-($V$24+'3_rezeptkarte'!M13+$AD$26+$AD$27)*AP28*(V28+$AP$18))/(AD28*$AP$20))</f>
        <v/>
      </c>
      <c r="AH28" s="657" t="s">
        <v>4</v>
      </c>
      <c r="AI28" s="11"/>
      <c r="AK28" s="661" t="str">
        <f>CONCATENATE("spez. Wärmekapazität nach ",D28)</f>
        <v>spez. Wärmekapazität nach Rast</v>
      </c>
      <c r="AL28" s="662"/>
      <c r="AM28" s="662"/>
      <c r="AN28" s="663"/>
      <c r="AO28" s="663"/>
      <c r="AP28" s="1211" t="str">
        <f>IF(ISERROR((($V$24+'3_rezeptkarte'!M13+AD26)*AP27+AD27*$AP$20)/($V$24+'3_rezeptkarte'!M13+AD26+AD27)),"",(($V$24+'3_rezeptkarte'!M13+AD26)*AP27+AD27*$AP$20)/($V$24+'3_rezeptkarte'!M13+AD26+AD27))</f>
        <v/>
      </c>
      <c r="AQ28" s="657" t="s">
        <v>823</v>
      </c>
      <c r="AT28" s="257"/>
      <c r="AU28" s="259"/>
    </row>
    <row r="29" spans="2:47" ht="14.25" customHeight="1">
      <c r="B29" s="10"/>
      <c r="C29" s="34"/>
      <c r="D29" s="1015" t="str">
        <f>'3_rezeptkarte'!P32</f>
        <v>Rast</v>
      </c>
      <c r="E29" s="1015"/>
      <c r="F29" s="1015"/>
      <c r="G29" s="1015"/>
      <c r="H29" s="1015"/>
      <c r="I29" s="1015"/>
      <c r="J29" s="1015"/>
      <c r="K29" s="22"/>
      <c r="L29" s="3" t="s">
        <v>1136</v>
      </c>
      <c r="M29" s="1032"/>
      <c r="N29" s="1033"/>
      <c r="O29" s="24" t="s">
        <v>818</v>
      </c>
      <c r="Q29" s="1004">
        <f>IF(ISERROR(M29+AA29),"",M29+AA29)</f>
        <v>0</v>
      </c>
      <c r="R29" s="1005"/>
      <c r="S29" s="24" t="s">
        <v>3</v>
      </c>
      <c r="U29" s="3" t="s">
        <v>11</v>
      </c>
      <c r="V29" s="1003" t="str">
        <f>IF(D29="Rast","0",IF(D29="-","",'3_rezeptkarte'!D32))</f>
        <v>0</v>
      </c>
      <c r="W29" s="1003"/>
      <c r="X29" s="24" t="s">
        <v>4</v>
      </c>
      <c r="Z29" s="3" t="s">
        <v>40</v>
      </c>
      <c r="AA29" s="679">
        <f>IF(ISBLANK('3_rezeptkarte'!AR32),"",'3_rezeptkarte'!AR32)</f>
        <v>0</v>
      </c>
      <c r="AB29" s="24" t="s">
        <v>62</v>
      </c>
      <c r="AC29" s="654"/>
      <c r="AD29" s="1021" t="str">
        <f>IF(ISERROR(V24+AD26+AD27+AD28),"",V24+AD26+AD27+AD28)</f>
        <v/>
      </c>
      <c r="AE29" s="1021"/>
      <c r="AF29" s="689" t="s">
        <v>830</v>
      </c>
      <c r="AG29" s="688"/>
      <c r="AH29" s="656"/>
      <c r="AI29" s="11"/>
      <c r="AK29" s="661" t="str">
        <f>CONCATENATE("spez. Wärmekapazität nach ",D29)</f>
        <v>spez. Wärmekapazität nach Rast</v>
      </c>
      <c r="AL29" s="662"/>
      <c r="AM29" s="662"/>
      <c r="AN29" s="663"/>
      <c r="AO29" s="663"/>
      <c r="AP29" s="1211" t="str">
        <f>IF(ISERROR((($V$24+'3_rezeptkarte'!M13+$AD$26+$AD$27)*AP28+AD28*$AP$20)/($V$24+'3_rezeptkarte'!M13+$AD$26+$AD$27+$AD$28)),"",(($V$24+'3_rezeptkarte'!M13+$AD$26+$AD$27)*AP28+AD28*$AP$20)/($V$24+'3_rezeptkarte'!M13+$AD$26+$AD$27+$AD$28))</f>
        <v/>
      </c>
      <c r="AQ29" s="657" t="s">
        <v>823</v>
      </c>
      <c r="AT29" s="257"/>
      <c r="AU29" s="259"/>
    </row>
    <row r="30" spans="2:47" s="9" customFormat="1" ht="2.25" customHeight="1">
      <c r="B30" s="7"/>
      <c r="C30" s="34"/>
      <c r="D30" s="417"/>
      <c r="E30" s="211"/>
      <c r="F30" s="211"/>
      <c r="G30" s="211"/>
      <c r="H30" s="211"/>
      <c r="I30" s="211"/>
      <c r="J30" s="211"/>
      <c r="K30" s="211"/>
      <c r="L30" s="211"/>
      <c r="M30" s="435"/>
      <c r="N30" s="435"/>
      <c r="O30" s="211"/>
      <c r="P30" s="211"/>
      <c r="Q30" s="435"/>
      <c r="R30" s="435"/>
      <c r="S30" s="211"/>
      <c r="T30" s="211"/>
      <c r="U30" s="211"/>
      <c r="V30" s="211"/>
      <c r="W30" s="211"/>
      <c r="X30" s="211"/>
      <c r="Y30" s="211"/>
      <c r="Z30" s="211"/>
      <c r="AA30" s="211"/>
      <c r="AB30" s="211"/>
      <c r="AC30" s="655"/>
      <c r="AD30" s="655"/>
      <c r="AE30" s="655"/>
      <c r="AF30" s="655"/>
      <c r="AG30" s="655"/>
      <c r="AH30" s="658"/>
      <c r="AI30" s="8"/>
      <c r="AK30" s="664"/>
      <c r="AL30" s="655"/>
      <c r="AM30" s="655"/>
      <c r="AN30" s="655"/>
      <c r="AO30" s="655"/>
      <c r="AP30" s="655"/>
      <c r="AQ30" s="658"/>
      <c r="AT30" s="257"/>
      <c r="AU30" s="259"/>
    </row>
    <row r="31" spans="2:47" s="9" customFormat="1" ht="2.25" customHeight="1">
      <c r="B31" s="7"/>
      <c r="C31" s="208"/>
      <c r="M31" s="434"/>
      <c r="N31" s="434"/>
      <c r="Q31" s="434"/>
      <c r="R31" s="434"/>
      <c r="AH31" s="209"/>
      <c r="AI31" s="8"/>
      <c r="AK31" s="660"/>
      <c r="AL31" s="649"/>
      <c r="AM31" s="649"/>
      <c r="AN31" s="649"/>
      <c r="AO31" s="649"/>
      <c r="AP31" s="649"/>
      <c r="AQ31" s="650"/>
      <c r="AT31" s="257"/>
      <c r="AU31" s="259"/>
    </row>
    <row r="32" spans="2:47" ht="14.25" hidden="1" customHeight="1" outlineLevel="1">
      <c r="B32" s="10"/>
      <c r="C32" s="34"/>
      <c r="D32" s="16" t="str">
        <f>'3_rezeptkarte'!D35</f>
        <v xml:space="preserve">  1. Kochmaische ziehen</v>
      </c>
      <c r="L32" s="3" t="s">
        <v>230</v>
      </c>
      <c r="M32" s="998"/>
      <c r="N32" s="998"/>
      <c r="O32" s="2" t="s">
        <v>3</v>
      </c>
      <c r="Q32" s="1019" t="str">
        <f>IF(ISERROR(AD29%*'3_rezeptkarte'!R35),"",AD29%*'3_rezeptkarte'!R35)</f>
        <v/>
      </c>
      <c r="R32" s="1019"/>
      <c r="S32" s="2" t="s">
        <v>1</v>
      </c>
      <c r="V32" s="1002" t="str">
        <f>'3_rezeptkarte'!L35</f>
        <v>wählen</v>
      </c>
      <c r="W32" s="1002"/>
      <c r="X32" s="1002"/>
      <c r="Y32" s="1002"/>
      <c r="Z32" s="1002"/>
      <c r="AA32" s="26"/>
      <c r="AB32" s="686">
        <f>'3_rezeptkarte'!R35</f>
        <v>0</v>
      </c>
      <c r="AC32" s="575" t="s">
        <v>5</v>
      </c>
      <c r="AD32" s="427"/>
      <c r="AE32" s="427"/>
      <c r="AF32" s="427"/>
      <c r="AG32" s="26"/>
      <c r="AH32" s="40"/>
      <c r="AI32" s="11"/>
      <c r="AK32" s="430"/>
      <c r="AL32" s="158"/>
      <c r="AM32" s="158"/>
      <c r="AN32" s="158"/>
      <c r="AO32" s="158"/>
      <c r="AP32" s="158"/>
      <c r="AQ32" s="431"/>
      <c r="AT32" s="257"/>
      <c r="AU32" s="259"/>
    </row>
    <row r="33" spans="2:47" ht="14.25" hidden="1" customHeight="1" outlineLevel="1">
      <c r="B33" s="10"/>
      <c r="C33" s="34"/>
      <c r="D33" s="1002" t="str">
        <f>'3_rezeptkarte'!P36</f>
        <v>Rast</v>
      </c>
      <c r="E33" s="1002"/>
      <c r="F33" s="1002"/>
      <c r="G33" s="1002"/>
      <c r="H33" s="1002"/>
      <c r="I33" s="1002"/>
      <c r="J33" s="1002"/>
      <c r="K33" s="22"/>
      <c r="L33" s="3" t="s">
        <v>1136</v>
      </c>
      <c r="M33" s="1032"/>
      <c r="N33" s="1033"/>
      <c r="O33" s="24" t="s">
        <v>818</v>
      </c>
      <c r="Q33" s="1004">
        <f>IF(ISERROR(M33+AA33),"",M33+AA33)</f>
        <v>0</v>
      </c>
      <c r="R33" s="1005"/>
      <c r="S33" s="24" t="s">
        <v>3</v>
      </c>
      <c r="U33" s="3" t="s">
        <v>11</v>
      </c>
      <c r="V33" s="1003" t="str">
        <f>IF(D33="Rast","0",IF(D33="-","",'3_rezeptkarte'!D36))</f>
        <v>0</v>
      </c>
      <c r="W33" s="1003"/>
      <c r="X33" s="24" t="s">
        <v>4</v>
      </c>
      <c r="Z33" s="3" t="s">
        <v>40</v>
      </c>
      <c r="AA33" s="685">
        <f>IF(ISBLANK('3_rezeptkarte'!AR36),"",'3_rezeptkarte'!AR36)</f>
        <v>0</v>
      </c>
      <c r="AB33" s="24" t="s">
        <v>62</v>
      </c>
      <c r="AC33" s="24"/>
      <c r="AD33" s="24"/>
      <c r="AE33" s="24"/>
      <c r="AF33" s="24"/>
      <c r="AG33" s="25"/>
      <c r="AH33" s="41"/>
      <c r="AI33" s="11"/>
      <c r="AK33" s="430"/>
      <c r="AL33" s="436"/>
      <c r="AM33" s="158"/>
      <c r="AN33" s="158"/>
      <c r="AO33" s="158"/>
      <c r="AP33" s="438"/>
      <c r="AQ33" s="431"/>
      <c r="AT33" s="257"/>
      <c r="AU33" s="259"/>
    </row>
    <row r="34" spans="2:47" ht="14.25" hidden="1" customHeight="1" outlineLevel="1">
      <c r="B34" s="10"/>
      <c r="C34" s="34"/>
      <c r="D34" s="1015" t="str">
        <f>'3_rezeptkarte'!P37</f>
        <v>Rast</v>
      </c>
      <c r="E34" s="1015"/>
      <c r="F34" s="1015"/>
      <c r="G34" s="1015"/>
      <c r="H34" s="1015"/>
      <c r="I34" s="1015"/>
      <c r="J34" s="1015"/>
      <c r="K34" s="22"/>
      <c r="L34" s="3" t="s">
        <v>1136</v>
      </c>
      <c r="M34" s="1032"/>
      <c r="N34" s="1033"/>
      <c r="O34" s="24" t="s">
        <v>818</v>
      </c>
      <c r="Q34" s="1004">
        <f>IF(ISERROR(M34+AA34),"",M34+AA34)</f>
        <v>0</v>
      </c>
      <c r="R34" s="1005"/>
      <c r="S34" s="24" t="s">
        <v>3</v>
      </c>
      <c r="U34" s="3" t="s">
        <v>11</v>
      </c>
      <c r="V34" s="1003" t="str">
        <f>IF(D34="Rast","0",IF(D34="-","",'3_rezeptkarte'!D37))</f>
        <v>0</v>
      </c>
      <c r="W34" s="1003"/>
      <c r="X34" s="24" t="s">
        <v>4</v>
      </c>
      <c r="Z34" s="3" t="s">
        <v>40</v>
      </c>
      <c r="AA34" s="685">
        <f>IF(ISBLANK('3_rezeptkarte'!AR37),"",'3_rezeptkarte'!AR37)</f>
        <v>0</v>
      </c>
      <c r="AB34" s="24" t="s">
        <v>62</v>
      </c>
      <c r="AC34" s="24"/>
      <c r="AD34" s="24"/>
      <c r="AE34" s="24"/>
      <c r="AF34" s="24"/>
      <c r="AG34" s="25"/>
      <c r="AH34" s="41"/>
      <c r="AI34" s="11"/>
      <c r="AK34" s="430"/>
      <c r="AL34" s="436"/>
      <c r="AM34" s="158"/>
      <c r="AN34" s="158"/>
      <c r="AO34" s="158"/>
      <c r="AP34" s="157"/>
      <c r="AQ34" s="431"/>
      <c r="AT34" s="257"/>
      <c r="AU34" s="259"/>
    </row>
    <row r="35" spans="2:47" ht="14.25" hidden="1" customHeight="1" outlineLevel="1">
      <c r="B35" s="10"/>
      <c r="C35" s="34"/>
      <c r="D35" s="1015" t="str">
        <f>'3_rezeptkarte'!P38</f>
        <v>Rast</v>
      </c>
      <c r="E35" s="1015"/>
      <c r="F35" s="1015"/>
      <c r="G35" s="1015"/>
      <c r="H35" s="1015"/>
      <c r="I35" s="1015"/>
      <c r="J35" s="1015"/>
      <c r="K35" s="22"/>
      <c r="L35" s="3" t="s">
        <v>1136</v>
      </c>
      <c r="M35" s="1032"/>
      <c r="N35" s="1033"/>
      <c r="O35" s="24" t="s">
        <v>818</v>
      </c>
      <c r="Q35" s="1004">
        <f>IF(ISERROR(M35+AA35),"",M35+AA35)</f>
        <v>0</v>
      </c>
      <c r="R35" s="1005"/>
      <c r="S35" s="24" t="s">
        <v>3</v>
      </c>
      <c r="U35" s="3" t="s">
        <v>11</v>
      </c>
      <c r="V35" s="1003" t="str">
        <f>IF(D35="Rast","0",IF(D35="-","",'3_rezeptkarte'!D38))</f>
        <v>0</v>
      </c>
      <c r="W35" s="1003"/>
      <c r="X35" s="24" t="s">
        <v>4</v>
      </c>
      <c r="Z35" s="3" t="s">
        <v>40</v>
      </c>
      <c r="AA35" s="685">
        <f>IF(ISBLANK('3_rezeptkarte'!AR38),"",'3_rezeptkarte'!AR38)</f>
        <v>0</v>
      </c>
      <c r="AB35" s="24" t="s">
        <v>62</v>
      </c>
      <c r="AC35" s="24"/>
      <c r="AD35" s="24"/>
      <c r="AE35" s="24"/>
      <c r="AF35" s="24"/>
      <c r="AG35" s="25"/>
      <c r="AH35" s="41"/>
      <c r="AI35" s="11"/>
      <c r="AK35" s="430"/>
      <c r="AL35" s="157"/>
      <c r="AM35" s="157"/>
      <c r="AN35" s="158"/>
      <c r="AO35" s="158"/>
      <c r="AP35" s="158"/>
      <c r="AQ35" s="431"/>
      <c r="AT35" s="257"/>
      <c r="AU35" s="259"/>
    </row>
    <row r="36" spans="2:47" s="9" customFormat="1" ht="2.25" hidden="1" customHeight="1" outlineLevel="1">
      <c r="B36" s="7"/>
      <c r="C36" s="208"/>
      <c r="M36" s="1217"/>
      <c r="N36" s="1217"/>
      <c r="Q36" s="434"/>
      <c r="R36" s="434"/>
      <c r="V36" s="429"/>
      <c r="W36" s="429"/>
      <c r="AC36" s="653"/>
      <c r="AD36" s="653"/>
      <c r="AE36" s="653"/>
      <c r="AF36" s="653"/>
      <c r="AG36" s="653"/>
      <c r="AH36" s="657"/>
      <c r="AI36" s="8"/>
      <c r="AK36" s="661"/>
      <c r="AL36" s="653"/>
      <c r="AM36" s="653"/>
      <c r="AN36" s="653"/>
      <c r="AO36" s="653"/>
      <c r="AP36" s="653"/>
      <c r="AQ36" s="657"/>
      <c r="AT36" s="257"/>
      <c r="AU36" s="259"/>
    </row>
    <row r="37" spans="2:47" ht="14.25" hidden="1" customHeight="1" outlineLevel="1">
      <c r="B37" s="10"/>
      <c r="C37" s="34"/>
      <c r="D37" s="16" t="s">
        <v>820</v>
      </c>
      <c r="E37" s="16"/>
      <c r="L37" s="3" t="s">
        <v>817</v>
      </c>
      <c r="M37" s="998"/>
      <c r="N37" s="998"/>
      <c r="O37" s="2" t="s">
        <v>3</v>
      </c>
      <c r="Q37" s="1010"/>
      <c r="R37" s="1010"/>
      <c r="S37" s="2" t="s">
        <v>1</v>
      </c>
      <c r="U37" s="3" t="s">
        <v>8</v>
      </c>
      <c r="V37" s="957"/>
      <c r="W37" s="957"/>
      <c r="X37" s="2" t="s">
        <v>4</v>
      </c>
      <c r="Y37" s="26"/>
      <c r="Z37" s="26"/>
      <c r="AA37" s="26"/>
      <c r="AB37" s="26"/>
      <c r="AC37" s="654"/>
      <c r="AD37" s="1012"/>
      <c r="AE37" s="1012"/>
      <c r="AF37" s="688" t="s">
        <v>827</v>
      </c>
      <c r="AG37" s="690" t="str">
        <f>IF(ISERROR((V38*($V$24+'3_rezeptkarte'!M13+$AD$26+$AD$27+$AD$28+AD37)*AP38-($V$24+'3_rezeptkarte'!M13+$AD$26+$AD$27+$AD$28)*AP37*V37)/(AD37*$AP$20)),"",(V38*($V$24+'3_rezeptkarte'!M13+$AD$26+$AD$27+$AD$28+AD37)*AP38-($V$24+'3_rezeptkarte'!M13+$AD$26+$AD$27+$AD$28)*AP37*V37)/(AD37*$AP$20))</f>
        <v/>
      </c>
      <c r="AH37" s="657" t="s">
        <v>4</v>
      </c>
      <c r="AI37" s="11"/>
      <c r="AK37" s="661" t="str">
        <f>CONCATENATE("spez. Wärmekapazität nach ",D37)</f>
        <v>spez. Wärmekapazität nach Gesamtmaische</v>
      </c>
      <c r="AL37" s="666"/>
      <c r="AM37" s="666"/>
      <c r="AN37" s="663"/>
      <c r="AO37" s="663"/>
      <c r="AP37" s="1210" t="str">
        <f>IF(ISBLANK(AP29),"",AP29)</f>
        <v/>
      </c>
      <c r="AQ37" s="657" t="s">
        <v>823</v>
      </c>
      <c r="AT37" s="257"/>
      <c r="AU37" s="259"/>
    </row>
    <row r="38" spans="2:47" ht="14.25" hidden="1" customHeight="1" outlineLevel="1">
      <c r="B38" s="10"/>
      <c r="C38" s="34"/>
      <c r="D38" s="1002" t="str">
        <f>'3_rezeptkarte'!P40</f>
        <v>Rast</v>
      </c>
      <c r="E38" s="1002"/>
      <c r="F38" s="1002"/>
      <c r="G38" s="1002"/>
      <c r="H38" s="1002"/>
      <c r="I38" s="1002"/>
      <c r="J38" s="1002"/>
      <c r="K38" s="30"/>
      <c r="L38" s="3" t="s">
        <v>1136</v>
      </c>
      <c r="M38" s="1036"/>
      <c r="N38" s="1036"/>
      <c r="O38" s="24" t="s">
        <v>818</v>
      </c>
      <c r="P38" s="533"/>
      <c r="Q38" s="1004">
        <f>IF(ISERROR(M38+AA38),"",M38+AA38)</f>
        <v>0</v>
      </c>
      <c r="R38" s="1005"/>
      <c r="S38" s="24" t="s">
        <v>3</v>
      </c>
      <c r="T38" s="19"/>
      <c r="U38" s="3" t="s">
        <v>11</v>
      </c>
      <c r="V38" s="1003" t="str">
        <f>IF(D38="Rast","0",IF(D38="-","",'3_rezeptkarte'!D40))</f>
        <v>0</v>
      </c>
      <c r="W38" s="1003"/>
      <c r="X38" s="24" t="s">
        <v>4</v>
      </c>
      <c r="Y38" s="19"/>
      <c r="Z38" s="3" t="s">
        <v>40</v>
      </c>
      <c r="AA38" s="685">
        <f>IF(ISBLANK('3_rezeptkarte'!AR40),"",'3_rezeptkarte'!AR40)</f>
        <v>0</v>
      </c>
      <c r="AB38" s="24" t="s">
        <v>62</v>
      </c>
      <c r="AC38" s="654"/>
      <c r="AD38" s="1012"/>
      <c r="AE38" s="1012"/>
      <c r="AF38" s="688" t="s">
        <v>827</v>
      </c>
      <c r="AG38" s="691" t="str">
        <f>IF(ISERROR((V39*($V$24+'3_rezeptkarte'!M13+$AD$26+$AD$27+$AD$28+AD37+AD38)*AP39-($V$24+'3_rezeptkarte'!M13+$AD$26+$AD$27+$AD$28+AD37)*AP38*(V38+AP18))/(AD38*$AP$20)),"",(V39*($V$24+'3_rezeptkarte'!M13+$AD$26+$AD$27+$AD$28+AD37+AD38)*AP39-($V$24+'3_rezeptkarte'!M13+$AD$26+$AD$27+$AD$28+AD37)*AP38*(V38+AP18))/(AD38*$AP$20))</f>
        <v/>
      </c>
      <c r="AH38" s="657" t="s">
        <v>4</v>
      </c>
      <c r="AI38" s="11"/>
      <c r="AK38" s="661" t="str">
        <f>CONCATENATE("spez. Wärmekapazität nach ",D38)</f>
        <v>spez. Wärmekapazität nach Rast</v>
      </c>
      <c r="AL38" s="666"/>
      <c r="AM38" s="666"/>
      <c r="AN38" s="663"/>
      <c r="AO38" s="663"/>
      <c r="AP38" s="1211" t="str">
        <f>IF(ISERROR((($V$24+'3_rezeptkarte'!M13+$AD$26+$AD$27+$AD$28)*AP37+AD37*$AP$20)/(($V$24+'3_rezeptkarte'!M13+$AD$26+$AD$27+$AD$28+$AD$37))),"",(($V$24+'3_rezeptkarte'!M13+$AD$26+$AD$27+$AD$28)*AP37+AD37*$AP$20)/(($V$24+'3_rezeptkarte'!M13+$AD$26+$AD$27+$AD$28+$AD$37)))</f>
        <v/>
      </c>
      <c r="AQ38" s="657" t="s">
        <v>823</v>
      </c>
      <c r="AT38" s="257"/>
      <c r="AU38" s="259"/>
    </row>
    <row r="39" spans="2:47" ht="14.25" hidden="1" customHeight="1" outlineLevel="1">
      <c r="B39" s="10"/>
      <c r="C39" s="34"/>
      <c r="D39" s="1015" t="str">
        <f>'3_rezeptkarte'!P41</f>
        <v>Rast</v>
      </c>
      <c r="E39" s="1015"/>
      <c r="F39" s="1015"/>
      <c r="G39" s="1015"/>
      <c r="H39" s="1015"/>
      <c r="I39" s="1015"/>
      <c r="J39" s="1015"/>
      <c r="K39" s="30"/>
      <c r="L39" s="3" t="s">
        <v>1136</v>
      </c>
      <c r="M39" s="1036"/>
      <c r="N39" s="1036"/>
      <c r="O39" s="24" t="s">
        <v>818</v>
      </c>
      <c r="P39" s="533"/>
      <c r="Q39" s="1004">
        <f>IF(ISERROR(M39+AA39),"",M39+AA39)</f>
        <v>0</v>
      </c>
      <c r="R39" s="1004"/>
      <c r="S39" s="24" t="s">
        <v>3</v>
      </c>
      <c r="T39" s="19"/>
      <c r="U39" s="3" t="s">
        <v>11</v>
      </c>
      <c r="V39" s="1003" t="str">
        <f>IF(D39="Rast","0",IF(D39="-","",'3_rezeptkarte'!D41))</f>
        <v>0</v>
      </c>
      <c r="W39" s="1003"/>
      <c r="X39" s="24" t="s">
        <v>4</v>
      </c>
      <c r="Y39" s="19"/>
      <c r="Z39" s="3" t="s">
        <v>40</v>
      </c>
      <c r="AA39" s="679">
        <f>IF(ISBLANK('3_rezeptkarte'!AR41),"",'3_rezeptkarte'!AR41)</f>
        <v>0</v>
      </c>
      <c r="AB39" s="24" t="s">
        <v>62</v>
      </c>
      <c r="AC39" s="654"/>
      <c r="AD39" s="1011" t="str">
        <f>IF(ISERROR(AD29+AD37+AD38),"",AD29+AD37+AD38)</f>
        <v/>
      </c>
      <c r="AE39" s="1011"/>
      <c r="AF39" s="689" t="s">
        <v>830</v>
      </c>
      <c r="AG39" s="697"/>
      <c r="AH39" s="665"/>
      <c r="AI39" s="11"/>
      <c r="AK39" s="661" t="str">
        <f>CONCATENATE("spez. Wärmekapazität nach ",D39)</f>
        <v>spez. Wärmekapazität nach Rast</v>
      </c>
      <c r="AL39" s="666"/>
      <c r="AM39" s="666"/>
      <c r="AN39" s="663"/>
      <c r="AO39" s="663"/>
      <c r="AP39" s="1211" t="str">
        <f>IF(ISERROR((($V$24+'3_rezeptkarte'!M13+$AD$26+$AD$27+$AD$28+$AD$37)*AP38+AD38*$AP$20)/(($V$24+'3_rezeptkarte'!M13+$AD$26+$AD$27+$AD$28+$AD$37+$AD$38))),"",(($V$24+'3_rezeptkarte'!M13+$AD$26+$AD$27+$AD$28+$AD$37)*AP38+AD38*$AP$20)/(($V$24+'3_rezeptkarte'!M13+$AD$26+$AD$27+$AD$28+$AD$37+$AD$38)))</f>
        <v/>
      </c>
      <c r="AQ39" s="657" t="s">
        <v>823</v>
      </c>
      <c r="AT39" s="257"/>
      <c r="AU39" s="259"/>
    </row>
    <row r="40" spans="2:47" s="9" customFormat="1" ht="2.25" hidden="1" customHeight="1" outlineLevel="1">
      <c r="B40" s="7"/>
      <c r="C40" s="208"/>
      <c r="M40" s="1217"/>
      <c r="N40" s="1217"/>
      <c r="Q40" s="434"/>
      <c r="R40" s="434"/>
      <c r="AC40" s="653"/>
      <c r="AD40" s="653"/>
      <c r="AE40" s="653"/>
      <c r="AF40" s="653"/>
      <c r="AG40" s="653"/>
      <c r="AH40" s="657"/>
      <c r="AI40" s="8"/>
      <c r="AK40" s="661"/>
      <c r="AL40" s="653"/>
      <c r="AM40" s="653"/>
      <c r="AN40" s="653"/>
      <c r="AO40" s="653"/>
      <c r="AP40" s="653"/>
      <c r="AQ40" s="657"/>
      <c r="AT40" s="257"/>
      <c r="AU40" s="259"/>
    </row>
    <row r="41" spans="2:47" ht="14.25" hidden="1" customHeight="1" outlineLevel="1">
      <c r="B41" s="10"/>
      <c r="C41" s="34"/>
      <c r="D41" s="16" t="str">
        <f>'3_rezeptkarte'!D43</f>
        <v xml:space="preserve">  2. Kochmaische ziehen</v>
      </c>
      <c r="E41" s="418"/>
      <c r="F41" s="418"/>
      <c r="G41" s="418"/>
      <c r="H41" s="418"/>
      <c r="I41" s="418"/>
      <c r="J41" s="18"/>
      <c r="K41" s="30"/>
      <c r="L41" s="3" t="s">
        <v>230</v>
      </c>
      <c r="M41" s="998"/>
      <c r="N41" s="998"/>
      <c r="O41" s="24" t="s">
        <v>3</v>
      </c>
      <c r="P41" s="533"/>
      <c r="Q41" s="1019">
        <f>IF(ISERROR(Q37%*'3_rezeptkarte'!R43),"",Q37%*'3_rezeptkarte'!R43)</f>
        <v>0</v>
      </c>
      <c r="R41" s="1019"/>
      <c r="S41" s="24" t="s">
        <v>1</v>
      </c>
      <c r="T41" s="24"/>
      <c r="U41" s="19"/>
      <c r="V41" s="1002" t="str">
        <f>'3_rezeptkarte'!L43</f>
        <v>wählen</v>
      </c>
      <c r="W41" s="1002"/>
      <c r="X41" s="1002"/>
      <c r="Y41" s="1002"/>
      <c r="Z41" s="1002"/>
      <c r="AA41" s="24"/>
      <c r="AB41" s="686">
        <f>'3_rezeptkarte'!R43</f>
        <v>0</v>
      </c>
      <c r="AC41" s="575" t="s">
        <v>5</v>
      </c>
      <c r="AD41" s="427"/>
      <c r="AE41" s="427"/>
      <c r="AF41" s="427"/>
      <c r="AG41" s="534"/>
      <c r="AH41" s="42"/>
      <c r="AI41" s="11"/>
      <c r="AK41" s="430"/>
      <c r="AL41" s="158"/>
      <c r="AM41" s="158"/>
      <c r="AN41" s="158"/>
      <c r="AO41" s="158"/>
      <c r="AP41" s="158"/>
      <c r="AQ41" s="431"/>
      <c r="AT41" s="257"/>
      <c r="AU41" s="259"/>
    </row>
    <row r="42" spans="2:47" s="9" customFormat="1" ht="2.25" hidden="1" customHeight="1" outlineLevel="1">
      <c r="B42" s="7"/>
      <c r="C42" s="208"/>
      <c r="M42" s="1217"/>
      <c r="N42" s="1217"/>
      <c r="Q42" s="434"/>
      <c r="R42" s="434"/>
      <c r="AH42" s="209"/>
      <c r="AI42" s="8"/>
      <c r="AK42" s="432"/>
      <c r="AL42" s="426"/>
      <c r="AM42" s="426"/>
      <c r="AN42" s="426"/>
      <c r="AO42" s="426"/>
      <c r="AP42" s="426"/>
      <c r="AQ42" s="433"/>
      <c r="AT42" s="257"/>
      <c r="AU42" s="259"/>
    </row>
    <row r="43" spans="2:47" ht="14.25" hidden="1" customHeight="1" outlineLevel="1">
      <c r="B43" s="10"/>
      <c r="C43" s="34"/>
      <c r="D43" s="1002" t="str">
        <f>'3_rezeptkarte'!P44</f>
        <v>Rast</v>
      </c>
      <c r="E43" s="1002"/>
      <c r="F43" s="1002"/>
      <c r="G43" s="1002"/>
      <c r="H43" s="1002"/>
      <c r="I43" s="1002"/>
      <c r="J43" s="1002"/>
      <c r="K43" s="30"/>
      <c r="L43" s="3" t="s">
        <v>1136</v>
      </c>
      <c r="M43" s="1039"/>
      <c r="N43" s="1039"/>
      <c r="O43" s="24" t="s">
        <v>818</v>
      </c>
      <c r="P43" s="533"/>
      <c r="Q43" s="1013">
        <f>IF(ISERROR(M43+AA43),"",M43+AA43)</f>
        <v>0</v>
      </c>
      <c r="R43" s="1013"/>
      <c r="S43" s="24" t="s">
        <v>3</v>
      </c>
      <c r="T43" s="19"/>
      <c r="U43" s="3"/>
      <c r="V43" s="1014" t="str">
        <f>IF(D43="Rast","0",IF(D43="-","",'3_rezeptkarte'!D44))</f>
        <v>0</v>
      </c>
      <c r="W43" s="1014"/>
      <c r="X43" s="24" t="s">
        <v>4</v>
      </c>
      <c r="Y43" s="19"/>
      <c r="Z43" s="3" t="s">
        <v>40</v>
      </c>
      <c r="AA43" s="685">
        <f>IF(ISBLANK('3_rezeptkarte'!AR44),"",'3_rezeptkarte'!AR44)</f>
        <v>0</v>
      </c>
      <c r="AB43" s="24" t="s">
        <v>62</v>
      </c>
      <c r="AC43" s="24"/>
      <c r="AD43" s="24"/>
      <c r="AE43" s="24"/>
      <c r="AF43" s="24"/>
      <c r="AG43" s="534"/>
      <c r="AH43" s="42"/>
      <c r="AI43" s="11"/>
      <c r="AK43" s="430"/>
      <c r="AL43" s="158"/>
      <c r="AM43" s="158"/>
      <c r="AN43" s="158"/>
      <c r="AO43" s="158"/>
      <c r="AP43" s="158"/>
      <c r="AQ43" s="431"/>
      <c r="AT43" s="257"/>
      <c r="AU43" s="259"/>
    </row>
    <row r="44" spans="2:47" ht="14.25" hidden="1" customHeight="1" outlineLevel="1">
      <c r="B44" s="10"/>
      <c r="C44" s="34"/>
      <c r="D44" s="1015" t="str">
        <f>'3_rezeptkarte'!P45</f>
        <v>Rast</v>
      </c>
      <c r="E44" s="1015"/>
      <c r="F44" s="1015"/>
      <c r="G44" s="1015"/>
      <c r="H44" s="1015"/>
      <c r="I44" s="1015"/>
      <c r="J44" s="1015"/>
      <c r="K44" s="30"/>
      <c r="L44" s="3" t="s">
        <v>1136</v>
      </c>
      <c r="M44" s="1032"/>
      <c r="N44" s="1032"/>
      <c r="O44" s="24" t="s">
        <v>818</v>
      </c>
      <c r="P44" s="533"/>
      <c r="Q44" s="1004">
        <f>IF(ISERROR(M44+AA44),"",M44+AA44)</f>
        <v>0</v>
      </c>
      <c r="R44" s="1004"/>
      <c r="S44" s="24" t="s">
        <v>3</v>
      </c>
      <c r="T44" s="19"/>
      <c r="U44" s="3"/>
      <c r="V44" s="1003" t="str">
        <f>IF(D44="Rast","0",IF(D44="-","",'3_rezeptkarte'!D45))</f>
        <v>0</v>
      </c>
      <c r="W44" s="1003"/>
      <c r="X44" s="24" t="s">
        <v>4</v>
      </c>
      <c r="Y44" s="19"/>
      <c r="Z44" s="3" t="s">
        <v>40</v>
      </c>
      <c r="AA44" s="685">
        <f>IF(ISBLANK('3_rezeptkarte'!AR45),"",'3_rezeptkarte'!AR45)</f>
        <v>0</v>
      </c>
      <c r="AB44" s="24" t="s">
        <v>62</v>
      </c>
      <c r="AC44" s="24"/>
      <c r="AD44" s="24"/>
      <c r="AE44" s="24"/>
      <c r="AF44" s="24"/>
      <c r="AG44" s="534"/>
      <c r="AH44" s="42"/>
      <c r="AI44" s="11"/>
      <c r="AK44" s="430"/>
      <c r="AL44" s="437"/>
      <c r="AM44" s="158"/>
      <c r="AN44" s="158"/>
      <c r="AO44" s="158"/>
      <c r="AP44" s="158"/>
      <c r="AQ44" s="431"/>
      <c r="AT44" s="257"/>
      <c r="AU44" s="259"/>
    </row>
    <row r="45" spans="2:47" ht="14.25" hidden="1" customHeight="1" outlineLevel="1">
      <c r="B45" s="10"/>
      <c r="C45" s="34"/>
      <c r="D45" s="1015" t="str">
        <f>'3_rezeptkarte'!P46</f>
        <v>Rast</v>
      </c>
      <c r="E45" s="1015"/>
      <c r="F45" s="1015"/>
      <c r="G45" s="1015"/>
      <c r="H45" s="1015"/>
      <c r="I45" s="1015"/>
      <c r="J45" s="1015"/>
      <c r="K45" s="30"/>
      <c r="L45" s="3" t="s">
        <v>1136</v>
      </c>
      <c r="M45" s="1032"/>
      <c r="N45" s="1032"/>
      <c r="O45" s="24" t="s">
        <v>818</v>
      </c>
      <c r="P45" s="533"/>
      <c r="Q45" s="1004">
        <f>IF(ISERROR(M45+AA45),"",M45+AA45)</f>
        <v>0</v>
      </c>
      <c r="R45" s="1004"/>
      <c r="S45" s="24" t="s">
        <v>3</v>
      </c>
      <c r="T45" s="19"/>
      <c r="U45" s="3"/>
      <c r="V45" s="1003" t="str">
        <f>IF(D45="Rast","0",IF(D45="-","",'3_rezeptkarte'!D46))</f>
        <v>0</v>
      </c>
      <c r="W45" s="1003"/>
      <c r="X45" s="24" t="s">
        <v>4</v>
      </c>
      <c r="Y45" s="19"/>
      <c r="Z45" s="3" t="s">
        <v>40</v>
      </c>
      <c r="AA45" s="685">
        <f>IF(ISBLANK('3_rezeptkarte'!AR46),"",'3_rezeptkarte'!AR46)</f>
        <v>0</v>
      </c>
      <c r="AB45" s="24" t="s">
        <v>62</v>
      </c>
      <c r="AC45" s="24"/>
      <c r="AD45" s="24"/>
      <c r="AE45" s="24"/>
      <c r="AF45" s="24"/>
      <c r="AG45" s="534"/>
      <c r="AH45" s="42"/>
      <c r="AI45" s="11"/>
      <c r="AK45" s="430"/>
      <c r="AL45" s="158"/>
      <c r="AM45" s="158"/>
      <c r="AN45" s="158"/>
      <c r="AO45" s="158"/>
      <c r="AP45" s="158"/>
      <c r="AQ45" s="431"/>
      <c r="AT45" s="257"/>
      <c r="AU45" s="259"/>
    </row>
    <row r="46" spans="2:47" s="9" customFormat="1" ht="2.25" hidden="1" customHeight="1" outlineLevel="1">
      <c r="B46" s="7"/>
      <c r="C46" s="208"/>
      <c r="M46" s="1217"/>
      <c r="N46" s="1217"/>
      <c r="Q46" s="434"/>
      <c r="R46" s="434"/>
      <c r="V46" s="429"/>
      <c r="W46" s="429"/>
      <c r="AC46" s="653"/>
      <c r="AD46" s="653"/>
      <c r="AE46" s="653"/>
      <c r="AF46" s="653"/>
      <c r="AG46" s="653"/>
      <c r="AH46" s="657"/>
      <c r="AI46" s="8"/>
      <c r="AK46" s="661"/>
      <c r="AL46" s="653"/>
      <c r="AM46" s="653"/>
      <c r="AN46" s="653"/>
      <c r="AO46" s="653"/>
      <c r="AP46" s="653"/>
      <c r="AQ46" s="657"/>
      <c r="AT46" s="257"/>
      <c r="AU46" s="259"/>
    </row>
    <row r="47" spans="2:47" ht="14.25" hidden="1" customHeight="1" outlineLevel="1">
      <c r="B47" s="10"/>
      <c r="C47" s="34"/>
      <c r="D47" s="16" t="s">
        <v>820</v>
      </c>
      <c r="E47" s="418"/>
      <c r="F47" s="418"/>
      <c r="G47" s="418"/>
      <c r="H47" s="418"/>
      <c r="I47" s="418"/>
      <c r="J47" s="18"/>
      <c r="K47" s="30"/>
      <c r="L47" s="3" t="s">
        <v>817</v>
      </c>
      <c r="M47" s="998"/>
      <c r="N47" s="998"/>
      <c r="O47" s="24" t="s">
        <v>3</v>
      </c>
      <c r="P47" s="533"/>
      <c r="Q47" s="1010"/>
      <c r="R47" s="1010"/>
      <c r="S47" s="24" t="s">
        <v>1</v>
      </c>
      <c r="T47" s="19"/>
      <c r="U47" s="3" t="s">
        <v>8</v>
      </c>
      <c r="V47" s="957"/>
      <c r="W47" s="957"/>
      <c r="X47" s="24" t="s">
        <v>4</v>
      </c>
      <c r="Y47" s="19"/>
      <c r="Z47" s="3"/>
      <c r="AA47" s="19"/>
      <c r="AB47" s="3"/>
      <c r="AC47" s="654"/>
      <c r="AD47" s="1012"/>
      <c r="AE47" s="1012"/>
      <c r="AF47" s="688" t="s">
        <v>827</v>
      </c>
      <c r="AG47" s="690" t="str">
        <f>IF(ISERROR((V48*($V$24+'3_rezeptkarte'!M13+$AD$26+$AD$27+$AD$28+$AD$37+$AD$38)*AP48-($V$24+'3_rezeptkarte'!M13+$AD$26+$AD$27+$AD$28+$AD$38)*AP47*(V47+AP27))/(AD47*$AP$20)),"",(V48*($V$24+'3_rezeptkarte'!M13+$AD$26+$AD$27+$AD$28+$AD$37+$AD$38)*AP48-($V$24+'3_rezeptkarte'!M13+$AD$26+$AD$27+$AD$28+$AD$38)*AP47*(V47+AP27))/(AD47*$AP$20))</f>
        <v/>
      </c>
      <c r="AH47" s="667" t="s">
        <v>4</v>
      </c>
      <c r="AI47" s="11"/>
      <c r="AK47" s="661" t="str">
        <f>CONCATENATE("spez. Wärmekapazität nach ",D47)</f>
        <v>spez. Wärmekapazität nach Gesamtmaische</v>
      </c>
      <c r="AL47" s="666"/>
      <c r="AM47" s="666"/>
      <c r="AN47" s="663"/>
      <c r="AO47" s="663"/>
      <c r="AP47" s="1210" t="str">
        <f>IF(ISBLANK(AP39),"",AP39)</f>
        <v/>
      </c>
      <c r="AQ47" s="657" t="s">
        <v>823</v>
      </c>
      <c r="AT47" s="257"/>
      <c r="AU47" s="259"/>
    </row>
    <row r="48" spans="2:47" ht="14.25" customHeight="1" collapsed="1">
      <c r="B48" s="10"/>
      <c r="C48" s="34"/>
      <c r="D48" s="1002" t="str">
        <f>'3_rezeptkarte'!P48</f>
        <v>Rast</v>
      </c>
      <c r="E48" s="1002"/>
      <c r="F48" s="1002"/>
      <c r="G48" s="1002"/>
      <c r="H48" s="1002"/>
      <c r="I48" s="1002"/>
      <c r="J48" s="1002"/>
      <c r="K48" s="30"/>
      <c r="L48" s="3" t="s">
        <v>1136</v>
      </c>
      <c r="M48" s="1039"/>
      <c r="N48" s="1039"/>
      <c r="O48" s="24" t="s">
        <v>818</v>
      </c>
      <c r="P48" s="533"/>
      <c r="Q48" s="1013">
        <f>IF(ISERROR(M48+AA48),"",M48+AA48)</f>
        <v>0</v>
      </c>
      <c r="R48" s="1013"/>
      <c r="S48" s="24" t="s">
        <v>3</v>
      </c>
      <c r="T48" s="19"/>
      <c r="U48" s="3"/>
      <c r="V48" s="1014" t="str">
        <f>IF(D48="Rast","0",IF(D48="-","",'3_rezeptkarte'!D48))</f>
        <v>0</v>
      </c>
      <c r="W48" s="1014"/>
      <c r="X48" s="24" t="s">
        <v>4</v>
      </c>
      <c r="Y48" s="19"/>
      <c r="Z48" s="3" t="s">
        <v>40</v>
      </c>
      <c r="AA48" s="685">
        <f>IF(ISBLANK('3_rezeptkarte'!AR48),"",'3_rezeptkarte'!AR48)</f>
        <v>0</v>
      </c>
      <c r="AB48" s="24" t="s">
        <v>62</v>
      </c>
      <c r="AC48" s="654"/>
      <c r="AD48" s="1011" t="str">
        <f>IF(ISERROR(AD39+AD47),"",AD39+AD47)</f>
        <v/>
      </c>
      <c r="AE48" s="1011"/>
      <c r="AF48" s="689" t="s">
        <v>830</v>
      </c>
      <c r="AG48" s="697"/>
      <c r="AH48" s="665"/>
      <c r="AI48" s="11"/>
      <c r="AK48" s="661" t="str">
        <f>CONCATENATE("spez. Wärmekapazität nach ",D48)</f>
        <v>spez. Wärmekapazität nach Rast</v>
      </c>
      <c r="AL48" s="651"/>
      <c r="AM48" s="651"/>
      <c r="AN48" s="651"/>
      <c r="AO48" s="651"/>
      <c r="AP48" s="1210" t="str">
        <f>IF(ISERROR((($V$24+'3_rezeptkarte'!M13+$AD$26+$AD$27+$AD$28+$AD$37+$AD$38)*AP47+AD47*$AP$20)/(($V$24+'3_rezeptkarte'!M13+$AD$26+$AD$27+$AD$28+$AD$37+$AD$38+$AD$47))),"",(($V$24+'3_rezeptkarte'!M13+$AD$26+$AD$27+$AD$28+$AD$37+$AD$38)*AP47+AD47*$AP$20)/(($V$24+'3_rezeptkarte'!M13+$AD$26+$AD$27+$AD$28+$AD$37+$AD$38+$AD$47)))</f>
        <v/>
      </c>
      <c r="AQ48" s="657" t="s">
        <v>823</v>
      </c>
      <c r="AT48" s="257"/>
      <c r="AU48" s="259"/>
    </row>
    <row r="49" spans="2:47" ht="2.25" customHeight="1">
      <c r="B49" s="10"/>
      <c r="C49" s="36"/>
      <c r="D49" s="20"/>
      <c r="E49" s="20"/>
      <c r="F49" s="20"/>
      <c r="G49" s="20"/>
      <c r="H49" s="20"/>
      <c r="I49" s="20"/>
      <c r="J49" s="20"/>
      <c r="K49" s="20"/>
      <c r="L49" s="205"/>
      <c r="M49" s="20"/>
      <c r="N49" s="20"/>
      <c r="O49" s="20"/>
      <c r="P49" s="205"/>
      <c r="Q49" s="205"/>
      <c r="R49" s="20"/>
      <c r="S49" s="20"/>
      <c r="T49" s="20"/>
      <c r="U49" s="20"/>
      <c r="V49" s="20"/>
      <c r="W49" s="20"/>
      <c r="X49" s="20"/>
      <c r="Y49" s="206"/>
      <c r="Z49" s="206"/>
      <c r="AA49" s="206"/>
      <c r="AB49" s="206"/>
      <c r="AC49" s="668"/>
      <c r="AD49" s="668"/>
      <c r="AE49" s="668"/>
      <c r="AF49" s="668"/>
      <c r="AG49" s="668"/>
      <c r="AH49" s="669"/>
      <c r="AI49" s="11"/>
      <c r="AK49" s="670"/>
      <c r="AL49" s="671"/>
      <c r="AM49" s="671"/>
      <c r="AN49" s="671"/>
      <c r="AO49" s="671"/>
      <c r="AP49" s="671"/>
      <c r="AQ49" s="672"/>
      <c r="AT49" s="257"/>
      <c r="AU49" s="259"/>
    </row>
    <row r="50" spans="2:47" ht="2.25" customHeight="1">
      <c r="B50" s="10"/>
      <c r="J50" s="3"/>
      <c r="AI50" s="11"/>
      <c r="AT50" s="257"/>
      <c r="AU50" s="259"/>
    </row>
    <row r="51" spans="2:47" ht="14.25" customHeight="1">
      <c r="B51" s="10"/>
      <c r="C51" s="31"/>
      <c r="D51" s="39" t="s">
        <v>278</v>
      </c>
      <c r="E51" s="32"/>
      <c r="F51" s="32"/>
      <c r="G51" s="32"/>
      <c r="H51" s="32"/>
      <c r="I51" s="32"/>
      <c r="J51" s="32"/>
      <c r="K51" s="32"/>
      <c r="L51" s="32"/>
      <c r="M51" s="32"/>
      <c r="N51" s="32"/>
      <c r="O51" s="32"/>
      <c r="P51" s="32"/>
      <c r="Q51" s="33"/>
      <c r="R51" s="34"/>
      <c r="S51" s="153" t="s">
        <v>279</v>
      </c>
      <c r="T51" s="32"/>
      <c r="U51" s="32"/>
      <c r="V51" s="32"/>
      <c r="W51" s="32"/>
      <c r="X51" s="32"/>
      <c r="Y51" s="32"/>
      <c r="Z51" s="32"/>
      <c r="AA51" s="32"/>
      <c r="AB51" s="32"/>
      <c r="AC51" s="32"/>
      <c r="AD51" s="32"/>
      <c r="AE51" s="32"/>
      <c r="AF51" s="32"/>
      <c r="AG51" s="32"/>
      <c r="AH51" s="33"/>
      <c r="AI51" s="11"/>
      <c r="AT51" s="257"/>
      <c r="AU51" s="259"/>
    </row>
    <row r="52" spans="2:47" ht="14.25" customHeight="1">
      <c r="B52" s="10"/>
      <c r="C52" s="34"/>
      <c r="D52" s="3" t="s">
        <v>159</v>
      </c>
      <c r="E52" s="998"/>
      <c r="F52" s="998"/>
      <c r="G52" s="2" t="s">
        <v>3</v>
      </c>
      <c r="I52" s="892"/>
      <c r="J52" s="892"/>
      <c r="K52" s="2" t="s">
        <v>1</v>
      </c>
      <c r="Q52" s="35"/>
      <c r="R52" s="34"/>
      <c r="S52" s="34"/>
      <c r="T52" s="3" t="s">
        <v>158</v>
      </c>
      <c r="U52" s="998"/>
      <c r="V52" s="998"/>
      <c r="W52" s="2" t="s">
        <v>160</v>
      </c>
      <c r="Y52" s="1000">
        <f>U52+AT52</f>
        <v>0</v>
      </c>
      <c r="Z52" s="1000"/>
      <c r="AA52" s="2" t="s">
        <v>3</v>
      </c>
      <c r="AC52" s="3"/>
      <c r="AD52" s="3" t="s">
        <v>26</v>
      </c>
      <c r="AE52" s="957"/>
      <c r="AF52" s="957"/>
      <c r="AG52" s="2" t="s">
        <v>62</v>
      </c>
      <c r="AH52" s="35"/>
      <c r="AI52" s="11"/>
      <c r="AT52" s="257">
        <f>AE52/1440</f>
        <v>0</v>
      </c>
      <c r="AU52" s="259"/>
    </row>
    <row r="53" spans="2:47" ht="2.25" customHeight="1">
      <c r="B53" s="10"/>
      <c r="C53" s="36"/>
      <c r="D53" s="20"/>
      <c r="E53" s="20"/>
      <c r="F53" s="20"/>
      <c r="G53" s="20"/>
      <c r="H53" s="20"/>
      <c r="I53" s="20"/>
      <c r="J53" s="20"/>
      <c r="K53" s="20"/>
      <c r="L53" s="20"/>
      <c r="M53" s="20"/>
      <c r="N53" s="20"/>
      <c r="O53" s="20"/>
      <c r="P53" s="20"/>
      <c r="Q53" s="37"/>
      <c r="R53" s="34"/>
      <c r="S53" s="36"/>
      <c r="T53" s="20"/>
      <c r="U53" s="20"/>
      <c r="V53" s="20"/>
      <c r="W53" s="20"/>
      <c r="X53" s="20"/>
      <c r="Y53" s="20"/>
      <c r="Z53" s="20"/>
      <c r="AA53" s="20"/>
      <c r="AB53" s="20"/>
      <c r="AC53" s="20"/>
      <c r="AD53" s="20"/>
      <c r="AE53" s="20"/>
      <c r="AF53" s="20"/>
      <c r="AG53" s="20"/>
      <c r="AH53" s="37"/>
      <c r="AI53" s="11"/>
      <c r="AT53" s="257"/>
      <c r="AU53" s="259"/>
    </row>
    <row r="54" spans="2:47" ht="2.25" customHeight="1">
      <c r="B54" s="10"/>
      <c r="AI54" s="11"/>
      <c r="AT54" s="257"/>
      <c r="AU54" s="259"/>
    </row>
    <row r="55" spans="2:47" ht="2.25" customHeight="1">
      <c r="B55" s="10"/>
      <c r="C55" s="31"/>
      <c r="D55" s="1037" t="s">
        <v>280</v>
      </c>
      <c r="E55" s="1037"/>
      <c r="F55" s="1037"/>
      <c r="G55" s="1037"/>
      <c r="H55" s="1037"/>
      <c r="I55" s="32"/>
      <c r="J55" s="32"/>
      <c r="K55" s="32"/>
      <c r="L55" s="32"/>
      <c r="M55" s="32"/>
      <c r="N55" s="32"/>
      <c r="O55" s="32"/>
      <c r="P55" s="32"/>
      <c r="Q55" s="32"/>
      <c r="R55" s="32"/>
      <c r="S55" s="703"/>
      <c r="T55" s="704"/>
      <c r="U55" s="704"/>
      <c r="V55" s="704"/>
      <c r="W55" s="704"/>
      <c r="X55" s="704"/>
      <c r="Y55" s="704"/>
      <c r="Z55" s="704"/>
      <c r="AA55" s="704"/>
      <c r="AB55" s="704"/>
      <c r="AC55" s="704"/>
      <c r="AD55" s="704"/>
      <c r="AE55" s="704"/>
      <c r="AF55" s="704"/>
      <c r="AG55" s="704"/>
      <c r="AH55" s="705"/>
      <c r="AI55" s="11"/>
      <c r="AT55" s="257"/>
      <c r="AU55" s="259"/>
    </row>
    <row r="56" spans="2:47" ht="14.25" customHeight="1">
      <c r="B56" s="10"/>
      <c r="C56" s="34"/>
      <c r="D56" s="1038"/>
      <c r="E56" s="1038"/>
      <c r="F56" s="1038"/>
      <c r="G56" s="1038"/>
      <c r="H56" s="1038"/>
      <c r="I56" s="856"/>
      <c r="J56" s="856"/>
      <c r="K56" s="856"/>
      <c r="N56" s="856"/>
      <c r="S56" s="530" t="s">
        <v>21</v>
      </c>
      <c r="T56" s="797"/>
      <c r="U56" s="797"/>
      <c r="V56" s="651"/>
      <c r="W56" s="651"/>
      <c r="X56" s="651"/>
      <c r="Y56" s="651"/>
      <c r="Z56" s="651"/>
      <c r="AA56" s="651"/>
      <c r="AB56" s="798" t="s">
        <v>30</v>
      </c>
      <c r="AC56" s="1007" t="str">
        <f>IF(ISERROR(IF(X59&lt;15,O12*0.7,IF(X59=15,O12,IF(AND(X59&gt;15,X59&lt;17),O12,IF(X59=17,O12,IF(X59&gt;17,O12*1.2)))))),"",IF(X59&lt;15,O12*0.7,IF(X59=15,O12,IF(AND(X59&gt;15,X59&lt;17),O12,IF(X59=17,O12,IF(X59&gt;17,O12*1.2))))))</f>
        <v/>
      </c>
      <c r="AD56" s="1008"/>
      <c r="AE56" s="1009"/>
      <c r="AF56" s="651" t="s">
        <v>1</v>
      </c>
      <c r="AG56" s="651"/>
      <c r="AH56" s="656"/>
      <c r="AI56" s="11"/>
      <c r="AT56" s="257"/>
      <c r="AU56" s="259"/>
    </row>
    <row r="57" spans="2:47" ht="1.95" customHeight="1">
      <c r="B57" s="10"/>
      <c r="C57" s="34"/>
      <c r="S57" s="670"/>
      <c r="T57" s="671"/>
      <c r="U57" s="671"/>
      <c r="V57" s="671"/>
      <c r="W57" s="671"/>
      <c r="X57" s="671"/>
      <c r="Y57" s="671"/>
      <c r="Z57" s="671"/>
      <c r="AA57" s="671"/>
      <c r="AB57" s="671"/>
      <c r="AC57" s="671"/>
      <c r="AD57" s="671"/>
      <c r="AE57" s="671"/>
      <c r="AF57" s="671"/>
      <c r="AG57" s="671"/>
      <c r="AH57" s="672"/>
      <c r="AI57" s="11"/>
      <c r="AT57" s="257"/>
      <c r="AU57" s="259"/>
    </row>
    <row r="58" spans="2:47" ht="1.95" customHeight="1">
      <c r="B58" s="10"/>
      <c r="C58" s="34"/>
      <c r="AH58" s="35"/>
      <c r="AI58" s="11"/>
      <c r="AT58" s="257"/>
      <c r="AU58" s="259"/>
    </row>
    <row r="59" spans="2:47" ht="14.25" customHeight="1">
      <c r="B59" s="10"/>
      <c r="C59" s="34"/>
      <c r="I59" s="3" t="s">
        <v>28</v>
      </c>
      <c r="J59" s="998"/>
      <c r="K59" s="998"/>
      <c r="L59" s="2" t="s">
        <v>3</v>
      </c>
      <c r="N59" s="3" t="s">
        <v>10</v>
      </c>
      <c r="O59" s="998"/>
      <c r="P59" s="998"/>
      <c r="Q59" s="2" t="s">
        <v>3</v>
      </c>
      <c r="S59" s="892"/>
      <c r="T59" s="892"/>
      <c r="U59" s="2" t="s">
        <v>38</v>
      </c>
      <c r="W59" s="536" t="s">
        <v>242</v>
      </c>
      <c r="X59" s="1019">
        <f>S59/1.04</f>
        <v>0</v>
      </c>
      <c r="Y59" s="1019"/>
      <c r="Z59" s="2" t="s">
        <v>39</v>
      </c>
      <c r="AA59" s="3"/>
      <c r="AB59" s="3" t="s">
        <v>6</v>
      </c>
      <c r="AC59" s="892"/>
      <c r="AD59" s="892"/>
      <c r="AE59" s="892"/>
      <c r="AF59" s="2" t="s">
        <v>1</v>
      </c>
      <c r="AH59" s="35"/>
      <c r="AI59" s="11"/>
      <c r="AT59" s="257"/>
      <c r="AU59" s="259"/>
    </row>
    <row r="60" spans="2:47" ht="14.25" customHeight="1">
      <c r="B60" s="10"/>
      <c r="C60" s="34"/>
      <c r="I60" s="3" t="s">
        <v>245</v>
      </c>
      <c r="J60" s="1036"/>
      <c r="K60" s="1036"/>
      <c r="L60" s="2" t="s">
        <v>3</v>
      </c>
      <c r="N60" s="3" t="s">
        <v>10</v>
      </c>
      <c r="O60" s="998"/>
      <c r="P60" s="998"/>
      <c r="Q60" s="2" t="s">
        <v>3</v>
      </c>
      <c r="AA60" s="3"/>
      <c r="AB60" s="3" t="s">
        <v>6</v>
      </c>
      <c r="AC60" s="996">
        <f>AC63-AC59</f>
        <v>0</v>
      </c>
      <c r="AD60" s="996"/>
      <c r="AE60" s="996"/>
      <c r="AF60" s="2" t="s">
        <v>1</v>
      </c>
      <c r="AH60" s="35"/>
      <c r="AI60" s="11"/>
      <c r="AT60" s="257"/>
      <c r="AU60" s="259"/>
    </row>
    <row r="61" spans="2:47" ht="1.95" customHeight="1">
      <c r="B61" s="10"/>
      <c r="C61" s="34"/>
      <c r="H61" s="3"/>
      <c r="I61" s="562"/>
      <c r="J61" s="562"/>
      <c r="K61" s="158"/>
      <c r="L61" s="158"/>
      <c r="M61" s="163"/>
      <c r="N61" s="562"/>
      <c r="O61" s="562"/>
      <c r="AA61" s="3"/>
      <c r="AB61" s="3"/>
      <c r="AC61" s="698"/>
      <c r="AD61" s="698"/>
      <c r="AE61" s="698"/>
      <c r="AF61" s="20"/>
      <c r="AG61" s="20"/>
      <c r="AH61" s="35"/>
      <c r="AI61" s="11"/>
      <c r="AT61" s="257"/>
      <c r="AU61" s="259"/>
    </row>
    <row r="62" spans="2:47" ht="1.95" customHeight="1">
      <c r="B62" s="10"/>
      <c r="C62" s="34"/>
      <c r="H62" s="3"/>
      <c r="I62" s="562"/>
      <c r="J62" s="562"/>
      <c r="K62" s="158"/>
      <c r="L62" s="158"/>
      <c r="M62" s="163"/>
      <c r="N62" s="562"/>
      <c r="O62" s="562"/>
      <c r="AA62" s="3"/>
      <c r="AB62" s="3"/>
      <c r="AC62" s="563"/>
      <c r="AD62" s="563"/>
      <c r="AE62" s="563"/>
      <c r="AH62" s="35"/>
      <c r="AI62" s="11"/>
      <c r="AT62" s="257"/>
      <c r="AU62" s="259"/>
    </row>
    <row r="63" spans="2:47" ht="14.25" customHeight="1">
      <c r="B63" s="10"/>
      <c r="C63" s="34"/>
      <c r="R63" s="3" t="s">
        <v>7</v>
      </c>
      <c r="S63" s="892"/>
      <c r="T63" s="892"/>
      <c r="U63" s="2" t="s">
        <v>38</v>
      </c>
      <c r="W63" s="536" t="s">
        <v>242</v>
      </c>
      <c r="X63" s="1019">
        <f>S63/1.04</f>
        <v>0</v>
      </c>
      <c r="Y63" s="1019"/>
      <c r="Z63" s="2" t="s">
        <v>39</v>
      </c>
      <c r="AA63" s="3"/>
      <c r="AB63" s="3" t="s">
        <v>6</v>
      </c>
      <c r="AC63" s="1034"/>
      <c r="AD63" s="1034"/>
      <c r="AE63" s="1034"/>
      <c r="AF63" s="2" t="s">
        <v>1</v>
      </c>
      <c r="AH63" s="35"/>
      <c r="AI63" s="11"/>
      <c r="AT63" s="257"/>
      <c r="AU63" s="259"/>
    </row>
    <row r="64" spans="2:47" ht="1.95" customHeight="1">
      <c r="B64" s="10"/>
      <c r="C64" s="36"/>
      <c r="D64" s="20"/>
      <c r="E64" s="20"/>
      <c r="F64" s="20"/>
      <c r="G64" s="20"/>
      <c r="H64" s="20"/>
      <c r="I64" s="20"/>
      <c r="J64" s="20"/>
      <c r="K64" s="20"/>
      <c r="L64" s="205"/>
      <c r="M64" s="20"/>
      <c r="N64" s="20"/>
      <c r="O64" s="20"/>
      <c r="P64" s="205"/>
      <c r="Q64" s="205"/>
      <c r="R64" s="20"/>
      <c r="S64" s="20"/>
      <c r="T64" s="20"/>
      <c r="U64" s="20"/>
      <c r="V64" s="20"/>
      <c r="W64" s="20"/>
      <c r="X64" s="20"/>
      <c r="Y64" s="206"/>
      <c r="Z64" s="206"/>
      <c r="AA64" s="206"/>
      <c r="AB64" s="206"/>
      <c r="AC64" s="206"/>
      <c r="AD64" s="206"/>
      <c r="AE64" s="206"/>
      <c r="AF64" s="206"/>
      <c r="AG64" s="206"/>
      <c r="AH64" s="207"/>
      <c r="AI64" s="11"/>
      <c r="AT64" s="257"/>
      <c r="AU64" s="259"/>
    </row>
    <row r="65" spans="2:47" ht="1.95" customHeight="1">
      <c r="B65" s="10"/>
      <c r="AI65" s="11"/>
      <c r="AT65" s="257"/>
      <c r="AU65" s="259"/>
    </row>
    <row r="66" spans="2:47" ht="14.25" customHeight="1">
      <c r="B66" s="10"/>
      <c r="C66" s="31"/>
      <c r="D66" s="39" t="s">
        <v>281</v>
      </c>
      <c r="E66" s="32"/>
      <c r="F66" s="32"/>
      <c r="G66" s="32"/>
      <c r="H66" s="32"/>
      <c r="I66" s="32"/>
      <c r="J66" s="32"/>
      <c r="K66" s="32"/>
      <c r="L66" s="32"/>
      <c r="M66" s="32"/>
      <c r="N66" s="32"/>
      <c r="O66" s="32"/>
      <c r="P66" s="32"/>
      <c r="Q66" s="32"/>
      <c r="R66" s="32"/>
      <c r="S66" s="44"/>
      <c r="T66" s="44"/>
      <c r="U66" s="32"/>
      <c r="V66" s="32"/>
      <c r="W66" s="32"/>
      <c r="X66" s="32"/>
      <c r="Y66" s="32"/>
      <c r="Z66" s="32"/>
      <c r="AA66" s="32"/>
      <c r="AB66" s="32"/>
      <c r="AC66" s="32"/>
      <c r="AD66" s="1006"/>
      <c r="AE66" s="1006"/>
      <c r="AF66" s="1006"/>
      <c r="AG66" s="1006"/>
      <c r="AH66" s="33"/>
      <c r="AI66" s="11"/>
      <c r="AT66" s="257"/>
      <c r="AU66" s="259"/>
    </row>
    <row r="67" spans="2:47" ht="14.25" customHeight="1">
      <c r="B67" s="10"/>
      <c r="C67" s="34"/>
      <c r="H67" s="3" t="s">
        <v>27</v>
      </c>
      <c r="I67" s="998"/>
      <c r="J67" s="998"/>
      <c r="K67" s="2" t="s">
        <v>3</v>
      </c>
      <c r="M67" s="3" t="s">
        <v>10</v>
      </c>
      <c r="N67" s="998"/>
      <c r="O67" s="998"/>
      <c r="P67" s="2" t="s">
        <v>3</v>
      </c>
      <c r="R67" s="3" t="s">
        <v>24</v>
      </c>
      <c r="S67" s="892"/>
      <c r="T67" s="892"/>
      <c r="U67" s="2" t="s">
        <v>4</v>
      </c>
      <c r="W67" s="3" t="s">
        <v>25</v>
      </c>
      <c r="X67" s="1047"/>
      <c r="Y67" s="1047"/>
      <c r="Z67" s="2" t="s">
        <v>4</v>
      </c>
      <c r="AH67" s="35"/>
      <c r="AI67" s="11"/>
      <c r="AT67" s="257"/>
      <c r="AU67" s="259"/>
    </row>
    <row r="68" spans="2:47" ht="14.25" customHeight="1">
      <c r="B68" s="10"/>
      <c r="C68" s="34"/>
      <c r="H68" s="3" t="s">
        <v>9</v>
      </c>
      <c r="I68" s="998"/>
      <c r="J68" s="998"/>
      <c r="K68" s="2" t="s">
        <v>3</v>
      </c>
      <c r="M68" s="3" t="s">
        <v>10</v>
      </c>
      <c r="N68" s="1000">
        <f>IF(ISERROR(I68+R68),"",I68+R68)</f>
        <v>0</v>
      </c>
      <c r="O68" s="1000"/>
      <c r="P68" s="2" t="s">
        <v>3</v>
      </c>
      <c r="R68" s="1001">
        <f>IF(ISBLANK('3_rezeptkarte'!AR52),"",'3_rezeptkarte'!AR52)</f>
        <v>0</v>
      </c>
      <c r="S68" s="1001"/>
      <c r="T68" s="2" t="s">
        <v>62</v>
      </c>
      <c r="U68" s="17"/>
      <c r="V68" s="892"/>
      <c r="W68" s="892"/>
      <c r="X68" s="2" t="s">
        <v>1</v>
      </c>
      <c r="Y68" s="18"/>
      <c r="Z68" s="892"/>
      <c r="AA68" s="892"/>
      <c r="AB68" s="2" t="s">
        <v>38</v>
      </c>
      <c r="AD68" s="536" t="s">
        <v>242</v>
      </c>
      <c r="AE68" s="1019">
        <f>Z68/1.04</f>
        <v>0</v>
      </c>
      <c r="AF68" s="1019"/>
      <c r="AG68" s="1019"/>
      <c r="AH68" s="35" t="s">
        <v>39</v>
      </c>
      <c r="AI68" s="11"/>
      <c r="AT68" s="257"/>
      <c r="AU68" s="259"/>
    </row>
    <row r="69" spans="2:47" ht="14.25" customHeight="1">
      <c r="B69" s="10"/>
      <c r="C69" s="34"/>
      <c r="D69" s="1002" t="s">
        <v>1331</v>
      </c>
      <c r="E69" s="1002"/>
      <c r="F69" s="1002"/>
      <c r="G69" s="1002"/>
      <c r="I69" s="1000">
        <f>IF(AB69="zur Vorderwürze",$I$67+$R$68-'3_rezeptkarte'!AR56,$I$68+$R$68-'3_rezeptkarte'!AR56)</f>
        <v>0</v>
      </c>
      <c r="J69" s="1000"/>
      <c r="K69" s="2" t="s">
        <v>3</v>
      </c>
      <c r="M69" s="1019">
        <f>IF(ISBLANK('3_rezeptkarte'!J56),"",'3_rezeptkarte'!J56)</f>
        <v>0</v>
      </c>
      <c r="N69" s="1019"/>
      <c r="O69" s="2" t="s">
        <v>13</v>
      </c>
      <c r="P69" s="960" t="str">
        <f>IF(ISBLANK('3_rezeptkarte'!AA55),"",'3_rezeptkarte'!AA55)</f>
        <v>wählen</v>
      </c>
      <c r="Q69" s="960"/>
      <c r="R69" s="46"/>
      <c r="S69" s="1002" t="str">
        <f>IF(ISBLANK('3_rezeptkarte'!J55),"",'3_rezeptkarte'!J55)</f>
        <v>&lt;Hopfensorte wählen&gt;</v>
      </c>
      <c r="T69" s="1002"/>
      <c r="U69" s="1002"/>
      <c r="V69" s="1002"/>
      <c r="W69" s="1002"/>
      <c r="X69" s="1002"/>
      <c r="Y69" s="1002"/>
      <c r="Z69" s="1002"/>
      <c r="AB69" s="960" t="str">
        <f>IF(ISBLANK('3_rezeptkarte'!O56),"",'3_rezeptkarte'!O56)</f>
        <v>bitte wählen</v>
      </c>
      <c r="AC69" s="960"/>
      <c r="AD69" s="960"/>
      <c r="AE69" s="960"/>
      <c r="AF69" s="960"/>
      <c r="AG69" s="960"/>
      <c r="AH69" s="1043"/>
      <c r="AI69" s="11"/>
      <c r="AT69" s="257"/>
      <c r="AU69" s="259"/>
    </row>
    <row r="70" spans="2:47" ht="14.25" customHeight="1">
      <c r="B70" s="10"/>
      <c r="C70" s="34"/>
      <c r="D70" s="1002" t="str">
        <f>'3_rezeptkarte'!D58</f>
        <v>2. Gabe</v>
      </c>
      <c r="E70" s="1002"/>
      <c r="F70" s="1002"/>
      <c r="G70" s="1002"/>
      <c r="I70" s="1000">
        <f>IF(AB70="zur Vorderwürze",$I$67+$R$68-'3_rezeptkarte'!AR59,$I$68+$R$68-'3_rezeptkarte'!AR59)</f>
        <v>0</v>
      </c>
      <c r="J70" s="1000"/>
      <c r="K70" s="2" t="s">
        <v>3</v>
      </c>
      <c r="M70" s="1019">
        <f>IF(ISBLANK('3_rezeptkarte'!J59),"",'3_rezeptkarte'!J59)</f>
        <v>0</v>
      </c>
      <c r="N70" s="1019"/>
      <c r="O70" s="2" t="s">
        <v>13</v>
      </c>
      <c r="P70" s="960" t="str">
        <f>IF(ISBLANK('3_rezeptkarte'!AA58),"",'3_rezeptkarte'!AA58)</f>
        <v>wählen</v>
      </c>
      <c r="Q70" s="960"/>
      <c r="R70" s="46"/>
      <c r="S70" s="1002" t="str">
        <f>IF(ISBLANK('3_rezeptkarte'!J58),"",'3_rezeptkarte'!J58)</f>
        <v>&lt;Hopfensorte wählen&gt;</v>
      </c>
      <c r="T70" s="1002"/>
      <c r="U70" s="1002"/>
      <c r="V70" s="1002"/>
      <c r="W70" s="1002"/>
      <c r="X70" s="1002"/>
      <c r="Y70" s="1002"/>
      <c r="Z70" s="1002"/>
      <c r="AB70" s="960" t="str">
        <f>IF(ISBLANK('3_rezeptkarte'!O59),"",'3_rezeptkarte'!O59)</f>
        <v>bitte wählen</v>
      </c>
      <c r="AC70" s="960"/>
      <c r="AD70" s="960"/>
      <c r="AE70" s="960"/>
      <c r="AF70" s="960"/>
      <c r="AG70" s="960"/>
      <c r="AH70" s="1043"/>
      <c r="AI70" s="11"/>
      <c r="AO70" s="429"/>
      <c r="AT70" s="257"/>
      <c r="AU70" s="259"/>
    </row>
    <row r="71" spans="2:47" ht="14.25" customHeight="1">
      <c r="B71" s="10"/>
      <c r="C71" s="34"/>
      <c r="D71" s="1015" t="str">
        <f>'3_rezeptkarte'!D61</f>
        <v>3. Gabe</v>
      </c>
      <c r="E71" s="1015"/>
      <c r="F71" s="1015"/>
      <c r="G71" s="1015"/>
      <c r="H71" s="3"/>
      <c r="I71" s="1000">
        <f>IF(AB71="zur Vorderwürze",$I$67+$R$68-'3_rezeptkarte'!AR62,$I$68+$R$68-'3_rezeptkarte'!AR62)</f>
        <v>0</v>
      </c>
      <c r="J71" s="1000"/>
      <c r="K71" s="2" t="s">
        <v>3</v>
      </c>
      <c r="M71" s="1019">
        <f>IF(ISBLANK('3_rezeptkarte'!J62),"",'3_rezeptkarte'!J62)</f>
        <v>0</v>
      </c>
      <c r="N71" s="1019"/>
      <c r="O71" s="2" t="s">
        <v>13</v>
      </c>
      <c r="P71" s="960" t="str">
        <f>IF(ISBLANK('3_rezeptkarte'!AA61),"",'3_rezeptkarte'!AA61)</f>
        <v>wählen</v>
      </c>
      <c r="Q71" s="960"/>
      <c r="R71" s="46"/>
      <c r="S71" s="1002" t="str">
        <f>IF(ISBLANK('3_rezeptkarte'!J61),"",'3_rezeptkarte'!J61)</f>
        <v>&lt;Hopfensorte wählen&gt;</v>
      </c>
      <c r="T71" s="1002"/>
      <c r="U71" s="1002"/>
      <c r="V71" s="1002"/>
      <c r="W71" s="1002"/>
      <c r="X71" s="1002"/>
      <c r="Y71" s="1002"/>
      <c r="Z71" s="1002"/>
      <c r="AB71" s="960" t="str">
        <f>IF(ISBLANK('3_rezeptkarte'!O62),"",'3_rezeptkarte'!O62)</f>
        <v>bitte wählen</v>
      </c>
      <c r="AC71" s="960"/>
      <c r="AD71" s="960"/>
      <c r="AE71" s="960"/>
      <c r="AF71" s="960"/>
      <c r="AG71" s="960"/>
      <c r="AH71" s="1043"/>
      <c r="AI71" s="11"/>
      <c r="AT71" s="257"/>
      <c r="AU71" s="259"/>
    </row>
    <row r="72" spans="2:47" ht="14.25" customHeight="1">
      <c r="B72" s="10"/>
      <c r="C72" s="34"/>
      <c r="D72" s="1015" t="str">
        <f>'3_rezeptkarte'!D64</f>
        <v>4. Gabe</v>
      </c>
      <c r="E72" s="1015"/>
      <c r="F72" s="1015"/>
      <c r="G72" s="1015"/>
      <c r="H72" s="3"/>
      <c r="I72" s="1000">
        <f>IF(AB72="zur Vorderwürze",$I$67+$R$68-'3_rezeptkarte'!AR65,$I$68+$R$68-'3_rezeptkarte'!AR65)</f>
        <v>0</v>
      </c>
      <c r="J72" s="1000"/>
      <c r="K72" s="2" t="s">
        <v>3</v>
      </c>
      <c r="M72" s="1019">
        <f>IF(ISBLANK('3_rezeptkarte'!J65),"",'3_rezeptkarte'!J65)</f>
        <v>0</v>
      </c>
      <c r="N72" s="1019"/>
      <c r="O72" s="2" t="s">
        <v>13</v>
      </c>
      <c r="P72" s="960" t="str">
        <f>IF(ISBLANK('3_rezeptkarte'!AA64),"",'3_rezeptkarte'!AA64)</f>
        <v>wählen</v>
      </c>
      <c r="Q72" s="960"/>
      <c r="R72" s="46"/>
      <c r="S72" s="1002" t="str">
        <f>IF(ISBLANK('3_rezeptkarte'!J64),"",'3_rezeptkarte'!J64)</f>
        <v>&lt;Hopfensorte wählen&gt;</v>
      </c>
      <c r="T72" s="1002"/>
      <c r="U72" s="1002"/>
      <c r="V72" s="1002"/>
      <c r="W72" s="1002"/>
      <c r="X72" s="1002"/>
      <c r="Y72" s="1002"/>
      <c r="Z72" s="1002"/>
      <c r="AB72" s="960" t="str">
        <f>IF(ISBLANK('3_rezeptkarte'!O65),"",'3_rezeptkarte'!O65)</f>
        <v>bitte wählen</v>
      </c>
      <c r="AC72" s="960"/>
      <c r="AD72" s="960"/>
      <c r="AE72" s="960"/>
      <c r="AF72" s="960"/>
      <c r="AG72" s="960"/>
      <c r="AH72" s="1043"/>
      <c r="AI72" s="11"/>
      <c r="AT72" s="257"/>
      <c r="AU72" s="259"/>
    </row>
    <row r="73" spans="2:47" ht="14.25" customHeight="1">
      <c r="B73" s="10"/>
      <c r="C73" s="34"/>
      <c r="D73" s="1002" t="str">
        <f>'3_rezeptkarte'!D67</f>
        <v>5. Gabe</v>
      </c>
      <c r="E73" s="1002"/>
      <c r="F73" s="1002"/>
      <c r="G73" s="1002"/>
      <c r="I73" s="1000">
        <f>IF(AB73="zur Vorderwürze",$I$67+$R$68-'3_rezeptkarte'!AR68,$I$68+$R$68-'3_rezeptkarte'!AR68)</f>
        <v>0</v>
      </c>
      <c r="J73" s="1000"/>
      <c r="K73" s="2" t="s">
        <v>3</v>
      </c>
      <c r="M73" s="1019">
        <f>IF(ISBLANK('3_rezeptkarte'!J68),"",'3_rezeptkarte'!J68)</f>
        <v>0</v>
      </c>
      <c r="N73" s="1019"/>
      <c r="O73" s="2" t="s">
        <v>13</v>
      </c>
      <c r="P73" s="960" t="str">
        <f>IF(ISBLANK('3_rezeptkarte'!AA67),"",'3_rezeptkarte'!AA67)</f>
        <v>wählen</v>
      </c>
      <c r="Q73" s="960"/>
      <c r="R73" s="46"/>
      <c r="S73" s="1002" t="str">
        <f>IF(ISBLANK('3_rezeptkarte'!J67),"",'3_rezeptkarte'!J67)</f>
        <v>&lt;Hopfensorte wählen&gt;</v>
      </c>
      <c r="T73" s="1002"/>
      <c r="U73" s="1002"/>
      <c r="V73" s="1002"/>
      <c r="W73" s="1002"/>
      <c r="X73" s="1002"/>
      <c r="Y73" s="1002"/>
      <c r="Z73" s="1002"/>
      <c r="AB73" s="960" t="str">
        <f>IF(ISBLANK('3_rezeptkarte'!O68),"",'3_rezeptkarte'!O68)</f>
        <v>bitte wählen</v>
      </c>
      <c r="AC73" s="960"/>
      <c r="AD73" s="960"/>
      <c r="AE73" s="960"/>
      <c r="AF73" s="960"/>
      <c r="AG73" s="960"/>
      <c r="AH73" s="1043"/>
      <c r="AI73" s="11"/>
      <c r="AT73" s="257"/>
      <c r="AU73" s="259"/>
    </row>
    <row r="74" spans="2:47" ht="14.25" customHeight="1">
      <c r="B74" s="10"/>
      <c r="C74" s="34"/>
      <c r="H74" s="3" t="s">
        <v>250</v>
      </c>
      <c r="I74" s="998"/>
      <c r="J74" s="998"/>
      <c r="K74" s="2" t="s">
        <v>3</v>
      </c>
      <c r="M74" s="3" t="s">
        <v>10</v>
      </c>
      <c r="N74" s="1000">
        <f>IF(ISERROR(I74+R74),"",I74+R74)</f>
        <v>0</v>
      </c>
      <c r="O74" s="1000"/>
      <c r="P74" s="2" t="s">
        <v>3</v>
      </c>
      <c r="R74" s="1001">
        <f>IF(ISBLANK('3_rezeptkarte'!AR70),"",'3_rezeptkarte'!AR70)</f>
        <v>0</v>
      </c>
      <c r="S74" s="1001"/>
      <c r="T74" s="2" t="s">
        <v>62</v>
      </c>
      <c r="U74" s="17"/>
      <c r="V74" s="892"/>
      <c r="W74" s="892"/>
      <c r="X74" s="2" t="s">
        <v>1</v>
      </c>
      <c r="Y74" s="18"/>
      <c r="Z74" s="892"/>
      <c r="AA74" s="892"/>
      <c r="AB74" s="2" t="s">
        <v>38</v>
      </c>
      <c r="AD74" s="536" t="s">
        <v>242</v>
      </c>
      <c r="AE74" s="996">
        <f>Z74/1.04</f>
        <v>0</v>
      </c>
      <c r="AF74" s="996"/>
      <c r="AG74" s="996"/>
      <c r="AH74" s="35" t="s">
        <v>39</v>
      </c>
      <c r="AI74" s="11"/>
      <c r="AT74" s="257"/>
      <c r="AU74" s="259"/>
    </row>
    <row r="75" spans="2:47" ht="1.95" customHeight="1">
      <c r="B75" s="10"/>
      <c r="C75" s="36"/>
      <c r="D75" s="20"/>
      <c r="E75" s="20"/>
      <c r="F75" s="20"/>
      <c r="G75" s="20"/>
      <c r="H75" s="20"/>
      <c r="I75" s="20"/>
      <c r="J75" s="20"/>
      <c r="K75" s="20"/>
      <c r="L75" s="20"/>
      <c r="M75" s="205"/>
      <c r="N75" s="20"/>
      <c r="O75" s="20"/>
      <c r="P75" s="20"/>
      <c r="Q75" s="20"/>
      <c r="R75" s="205"/>
      <c r="S75" s="20"/>
      <c r="T75" s="20"/>
      <c r="U75" s="20"/>
      <c r="V75" s="20"/>
      <c r="W75" s="20"/>
      <c r="X75" s="20"/>
      <c r="Y75" s="20"/>
      <c r="Z75" s="20"/>
      <c r="AA75" s="20"/>
      <c r="AB75" s="20"/>
      <c r="AC75" s="26"/>
      <c r="AD75" s="26"/>
      <c r="AE75" s="26"/>
      <c r="AF75" s="26"/>
      <c r="AG75" s="26"/>
      <c r="AH75" s="40"/>
      <c r="AI75" s="11"/>
      <c r="AT75" s="257"/>
      <c r="AU75" s="259"/>
    </row>
    <row r="76" spans="2:47" ht="1.95" customHeight="1">
      <c r="B76" s="10"/>
      <c r="AC76" s="547"/>
      <c r="AD76" s="547"/>
      <c r="AE76" s="547"/>
      <c r="AF76" s="547"/>
      <c r="AG76" s="547"/>
      <c r="AH76" s="547"/>
      <c r="AI76" s="11"/>
      <c r="AT76" s="257"/>
      <c r="AU76" s="259"/>
    </row>
    <row r="77" spans="2:47" ht="14.25" customHeight="1">
      <c r="B77" s="10"/>
      <c r="C77" s="31"/>
      <c r="D77" s="39" t="s">
        <v>282</v>
      </c>
      <c r="E77" s="32"/>
      <c r="F77" s="32"/>
      <c r="G77" s="32"/>
      <c r="H77" s="32"/>
      <c r="I77" s="32"/>
      <c r="J77" s="32"/>
      <c r="K77" s="33"/>
      <c r="M77" s="153" t="s">
        <v>283</v>
      </c>
      <c r="N77" s="32"/>
      <c r="O77" s="32"/>
      <c r="P77" s="32"/>
      <c r="Q77" s="32"/>
      <c r="R77" s="32"/>
      <c r="S77" s="32"/>
      <c r="T77" s="32"/>
      <c r="U77" s="32"/>
      <c r="V77" s="32"/>
      <c r="W77" s="32"/>
      <c r="X77" s="32"/>
      <c r="Y77" s="32"/>
      <c r="Z77" s="32"/>
      <c r="AA77" s="32"/>
      <c r="AB77" s="32"/>
      <c r="AC77" s="32"/>
      <c r="AD77" s="32"/>
      <c r="AE77" s="32"/>
      <c r="AF77" s="32"/>
      <c r="AG77" s="32"/>
      <c r="AH77" s="33"/>
      <c r="AI77" s="11"/>
      <c r="AT77" s="257"/>
      <c r="AU77" s="259"/>
    </row>
    <row r="78" spans="2:47" ht="14.25" customHeight="1">
      <c r="B78" s="10"/>
      <c r="C78" s="34"/>
      <c r="D78" s="3" t="s">
        <v>230</v>
      </c>
      <c r="E78" s="998"/>
      <c r="F78" s="998"/>
      <c r="G78" s="2" t="s">
        <v>3</v>
      </c>
      <c r="H78" s="3"/>
      <c r="I78" s="892"/>
      <c r="J78" s="892"/>
      <c r="K78" s="35" t="s">
        <v>5</v>
      </c>
      <c r="M78" s="34"/>
      <c r="S78" s="3"/>
      <c r="T78" s="3" t="s">
        <v>819</v>
      </c>
      <c r="U78" s="997"/>
      <c r="V78" s="997"/>
      <c r="W78" s="997"/>
      <c r="Y78" s="3" t="s">
        <v>230</v>
      </c>
      <c r="Z78" s="998"/>
      <c r="AA78" s="998"/>
      <c r="AB78" s="2" t="s">
        <v>3</v>
      </c>
      <c r="AC78" s="3"/>
      <c r="AD78" s="892"/>
      <c r="AE78" s="892"/>
      <c r="AF78" s="892"/>
      <c r="AG78" s="2" t="s">
        <v>1</v>
      </c>
      <c r="AH78" s="35"/>
      <c r="AI78" s="11"/>
      <c r="AT78" s="257"/>
      <c r="AU78" s="259"/>
    </row>
    <row r="79" spans="2:47" ht="14.25" customHeight="1">
      <c r="B79" s="10"/>
      <c r="C79" s="34"/>
      <c r="D79" s="3"/>
      <c r="E79" s="158"/>
      <c r="F79" s="158"/>
      <c r="G79" s="536"/>
      <c r="H79" s="545" t="s">
        <v>242</v>
      </c>
      <c r="I79" s="996">
        <f>V74*I78/100</f>
        <v>0</v>
      </c>
      <c r="J79" s="996"/>
      <c r="K79" s="35" t="s">
        <v>827</v>
      </c>
      <c r="M79" s="34" t="s">
        <v>14</v>
      </c>
      <c r="N79" s="892"/>
      <c r="O79" s="892"/>
      <c r="P79" s="158"/>
      <c r="Q79" s="892"/>
      <c r="R79" s="892"/>
      <c r="S79" s="2" t="s">
        <v>38</v>
      </c>
      <c r="U79" s="536" t="s">
        <v>242</v>
      </c>
      <c r="V79" s="996" t="str">
        <f>IF(ISBLANK(Q79),"",Q79/1.04)</f>
        <v/>
      </c>
      <c r="W79" s="996"/>
      <c r="X79" s="2" t="s">
        <v>39</v>
      </c>
      <c r="AD79" s="21"/>
      <c r="AE79" s="21" t="s">
        <v>18</v>
      </c>
      <c r="AF79" s="999" t="str">
        <f>IF(ISERROR(AT79*(V74+I79)/'3_rezeptkarte'!M13),"", AT79*(V74+I79)/'3_rezeptkarte'!M13)</f>
        <v/>
      </c>
      <c r="AG79" s="999"/>
      <c r="AH79" s="546" t="s">
        <v>5</v>
      </c>
      <c r="AI79" s="11"/>
      <c r="AT79" s="548" t="str">
        <f>IF(ISERROR(VLOOKUP(AE74,$AT$83:$AU$173,2,FALSE)),"0", VLOOKUP(AE74,$AT$83:$AU$173,2,FALSE))</f>
        <v>0</v>
      </c>
      <c r="AU79" s="259"/>
    </row>
    <row r="80" spans="2:47" ht="1.95" customHeight="1">
      <c r="B80" s="10"/>
      <c r="C80" s="36"/>
      <c r="D80" s="20"/>
      <c r="E80" s="20"/>
      <c r="F80" s="20"/>
      <c r="G80" s="20"/>
      <c r="H80" s="20"/>
      <c r="I80" s="20"/>
      <c r="J80" s="20"/>
      <c r="K80" s="37"/>
      <c r="M80" s="36"/>
      <c r="N80" s="20"/>
      <c r="O80" s="20"/>
      <c r="P80" s="20"/>
      <c r="Q80" s="20"/>
      <c r="R80" s="20"/>
      <c r="S80" s="20"/>
      <c r="T80" s="20"/>
      <c r="U80" s="20"/>
      <c r="V80" s="20"/>
      <c r="W80" s="20"/>
      <c r="X80" s="20"/>
      <c r="Y80" s="20"/>
      <c r="Z80" s="20"/>
      <c r="AA80" s="20"/>
      <c r="AB80" s="20"/>
      <c r="AC80" s="20"/>
      <c r="AD80" s="20"/>
      <c r="AE80" s="20"/>
      <c r="AF80" s="20"/>
      <c r="AG80" s="20"/>
      <c r="AH80" s="37"/>
      <c r="AI80" s="11"/>
      <c r="AT80" s="257"/>
      <c r="AU80" s="259"/>
    </row>
    <row r="81" spans="1:47" ht="1.95" customHeight="1" thickBot="1">
      <c r="B81" s="1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5"/>
      <c r="AT81" s="257"/>
      <c r="AU81" s="259"/>
    </row>
    <row r="82" spans="1:47" ht="16.5" customHeight="1">
      <c r="A82" s="46"/>
      <c r="B82" s="46"/>
      <c r="C82" s="46"/>
      <c r="D82" s="1212"/>
      <c r="E82" s="1212"/>
      <c r="F82" s="155"/>
      <c r="G82" s="1212"/>
      <c r="H82" s="155"/>
      <c r="I82" s="155"/>
      <c r="J82" s="155"/>
      <c r="K82" s="46"/>
      <c r="L82" s="46"/>
      <c r="M82" s="1212"/>
      <c r="N82" s="1212"/>
      <c r="O82" s="46"/>
      <c r="P82" s="46"/>
      <c r="Q82" s="46"/>
      <c r="R82" s="46"/>
      <c r="S82" s="46"/>
      <c r="T82" s="46"/>
      <c r="U82" s="46"/>
      <c r="V82" s="46"/>
      <c r="W82" s="46"/>
      <c r="X82" s="46"/>
      <c r="AT82" s="549"/>
      <c r="AU82" s="550"/>
    </row>
    <row r="83" spans="1:47" ht="16.5" customHeight="1">
      <c r="A83" s="46"/>
      <c r="B83" s="46"/>
      <c r="C83" s="46"/>
      <c r="D83" s="1212"/>
      <c r="E83" s="1212"/>
      <c r="F83" s="155"/>
      <c r="G83" s="1212"/>
      <c r="H83" s="155"/>
      <c r="I83" s="155"/>
      <c r="J83" s="155"/>
      <c r="K83" s="46"/>
      <c r="L83" s="46"/>
      <c r="M83" s="1212"/>
      <c r="N83" s="1212"/>
      <c r="O83" s="46"/>
      <c r="P83" s="46"/>
      <c r="Q83" s="46"/>
      <c r="R83" s="46"/>
      <c r="S83" s="46"/>
      <c r="T83" s="46"/>
      <c r="U83" s="46"/>
      <c r="V83" s="46"/>
      <c r="W83" s="46"/>
      <c r="X83" s="46"/>
      <c r="AT83" s="551">
        <v>11</v>
      </c>
      <c r="AU83" s="552">
        <v>11.01</v>
      </c>
    </row>
    <row r="84" spans="1:47" ht="16.5" customHeight="1">
      <c r="A84" s="46"/>
      <c r="B84" s="46"/>
      <c r="C84" s="46"/>
      <c r="D84" s="1212"/>
      <c r="E84" s="1212"/>
      <c r="F84" s="155"/>
      <c r="G84" s="1212"/>
      <c r="H84" s="155"/>
      <c r="I84" s="155"/>
      <c r="J84" s="155"/>
      <c r="K84" s="46"/>
      <c r="L84" s="46"/>
      <c r="M84" s="1212"/>
      <c r="N84" s="1212"/>
      <c r="O84" s="46"/>
      <c r="P84" s="46"/>
      <c r="Q84" s="46"/>
      <c r="R84" s="46"/>
      <c r="S84" s="46"/>
      <c r="T84" s="46"/>
      <c r="U84" s="46"/>
      <c r="V84" s="46"/>
      <c r="W84" s="46"/>
      <c r="X84" s="46"/>
      <c r="AT84" s="551">
        <v>11.1</v>
      </c>
      <c r="AU84" s="552">
        <v>11.11</v>
      </c>
    </row>
    <row r="85" spans="1:47" ht="16.5" customHeight="1">
      <c r="A85" s="46"/>
      <c r="B85" s="46"/>
      <c r="C85" s="46"/>
      <c r="D85" s="1212"/>
      <c r="E85" s="1212"/>
      <c r="F85" s="155"/>
      <c r="G85" s="1212"/>
      <c r="H85" s="155"/>
      <c r="I85" s="155"/>
      <c r="J85" s="155"/>
      <c r="K85" s="46"/>
      <c r="L85" s="46"/>
      <c r="M85" s="1212"/>
      <c r="N85" s="1212"/>
      <c r="O85" s="46"/>
      <c r="P85" s="46"/>
      <c r="Q85" s="46"/>
      <c r="R85" s="46"/>
      <c r="S85" s="46"/>
      <c r="T85" s="46"/>
      <c r="U85" s="46"/>
      <c r="V85" s="46"/>
      <c r="W85" s="46"/>
      <c r="X85" s="46"/>
      <c r="AT85" s="551">
        <v>11.2</v>
      </c>
      <c r="AU85" s="552">
        <v>11.22</v>
      </c>
    </row>
    <row r="86" spans="1:47" ht="16.5" customHeight="1">
      <c r="A86" s="46"/>
      <c r="B86" s="46"/>
      <c r="C86" s="46"/>
      <c r="D86" s="1212"/>
      <c r="E86" s="1212"/>
      <c r="F86" s="155"/>
      <c r="G86" s="1212"/>
      <c r="H86" s="155"/>
      <c r="I86" s="155"/>
      <c r="J86" s="155"/>
      <c r="K86" s="46"/>
      <c r="L86" s="46"/>
      <c r="M86" s="1212"/>
      <c r="N86" s="1212"/>
      <c r="O86" s="46"/>
      <c r="P86" s="46"/>
      <c r="Q86" s="46"/>
      <c r="R86" s="46"/>
      <c r="S86" s="46"/>
      <c r="T86" s="46"/>
      <c r="U86" s="46"/>
      <c r="V86" s="46"/>
      <c r="W86" s="46"/>
      <c r="X86" s="46"/>
      <c r="AT86" s="551">
        <v>11.3</v>
      </c>
      <c r="AU86" s="552">
        <v>11.32</v>
      </c>
    </row>
    <row r="87" spans="1:47" ht="16.5" customHeight="1">
      <c r="A87" s="46"/>
      <c r="B87" s="46"/>
      <c r="C87" s="46"/>
      <c r="D87" s="1212"/>
      <c r="E87" s="1212"/>
      <c r="F87" s="155"/>
      <c r="G87" s="1212"/>
      <c r="H87" s="155"/>
      <c r="I87" s="155"/>
      <c r="J87" s="155"/>
      <c r="K87" s="46"/>
      <c r="L87" s="46"/>
      <c r="M87" s="1212"/>
      <c r="N87" s="1212"/>
      <c r="O87" s="46"/>
      <c r="P87" s="46"/>
      <c r="Q87" s="46"/>
      <c r="R87" s="46"/>
      <c r="S87" s="46"/>
      <c r="T87" s="46"/>
      <c r="U87" s="46"/>
      <c r="V87" s="46"/>
      <c r="W87" s="46"/>
      <c r="X87" s="46"/>
      <c r="AT87" s="551">
        <v>11.4</v>
      </c>
      <c r="AU87" s="552">
        <v>11.42</v>
      </c>
    </row>
    <row r="88" spans="1:47" ht="16.5" customHeight="1">
      <c r="A88" s="46"/>
      <c r="B88" s="46"/>
      <c r="C88" s="46"/>
      <c r="D88" s="1212"/>
      <c r="E88" s="1212"/>
      <c r="F88" s="155"/>
      <c r="G88" s="1212"/>
      <c r="H88" s="155"/>
      <c r="I88" s="155"/>
      <c r="J88" s="155"/>
      <c r="K88" s="46"/>
      <c r="L88" s="46"/>
      <c r="M88" s="1212"/>
      <c r="N88" s="1212"/>
      <c r="O88" s="46"/>
      <c r="P88" s="46"/>
      <c r="Q88" s="46"/>
      <c r="R88" s="46"/>
      <c r="S88" s="46"/>
      <c r="T88" s="46"/>
      <c r="U88" s="46"/>
      <c r="V88" s="46"/>
      <c r="W88" s="46"/>
      <c r="X88" s="46"/>
      <c r="AT88" s="551">
        <v>11.5</v>
      </c>
      <c r="AU88" s="552">
        <v>11.53</v>
      </c>
    </row>
    <row r="89" spans="1:47" ht="16.5" customHeight="1">
      <c r="A89" s="46"/>
      <c r="B89" s="46"/>
      <c r="C89" s="46"/>
      <c r="D89" s="1212"/>
      <c r="E89" s="1212"/>
      <c r="F89" s="154"/>
      <c r="G89" s="1212"/>
      <c r="H89" s="155"/>
      <c r="I89" s="155"/>
      <c r="J89" s="155"/>
      <c r="K89" s="46"/>
      <c r="L89" s="46"/>
      <c r="M89" s="1212"/>
      <c r="N89" s="1212"/>
      <c r="O89" s="46"/>
      <c r="P89" s="46"/>
      <c r="Q89" s="46"/>
      <c r="R89" s="46"/>
      <c r="S89" s="46"/>
      <c r="T89" s="46"/>
      <c r="U89" s="46"/>
      <c r="V89" s="46"/>
      <c r="W89" s="46"/>
      <c r="X89" s="46"/>
      <c r="AT89" s="551">
        <v>11.6</v>
      </c>
      <c r="AU89" s="552">
        <v>11.63</v>
      </c>
    </row>
    <row r="90" spans="1:47" ht="16.5" customHeight="1">
      <c r="A90" s="46"/>
      <c r="B90" s="46"/>
      <c r="C90" s="46"/>
      <c r="D90" s="1212"/>
      <c r="E90" s="1212"/>
      <c r="F90" s="154"/>
      <c r="G90" s="1212"/>
      <c r="H90" s="155"/>
      <c r="I90" s="155"/>
      <c r="J90" s="155"/>
      <c r="K90" s="46"/>
      <c r="L90" s="46"/>
      <c r="M90" s="1212"/>
      <c r="N90" s="1212"/>
      <c r="O90" s="46"/>
      <c r="P90" s="46"/>
      <c r="Q90" s="46"/>
      <c r="R90" s="46"/>
      <c r="S90" s="46"/>
      <c r="T90" s="46"/>
      <c r="U90" s="46"/>
      <c r="V90" s="46"/>
      <c r="W90" s="46"/>
      <c r="X90" s="46"/>
      <c r="AT90" s="551">
        <v>11.7</v>
      </c>
      <c r="AU90" s="552">
        <v>11.74</v>
      </c>
    </row>
    <row r="91" spans="1:47" ht="16.5" customHeight="1">
      <c r="A91" s="46"/>
      <c r="B91" s="46"/>
      <c r="C91" s="46"/>
      <c r="D91" s="1212"/>
      <c r="E91" s="1212"/>
      <c r="F91" s="154"/>
      <c r="G91" s="1212"/>
      <c r="H91" s="155"/>
      <c r="I91" s="155"/>
      <c r="J91" s="155"/>
      <c r="K91" s="46"/>
      <c r="L91" s="46"/>
      <c r="M91" s="1212"/>
      <c r="N91" s="1212"/>
      <c r="O91" s="46"/>
      <c r="P91" s="46"/>
      <c r="Q91" s="46"/>
      <c r="R91" s="46"/>
      <c r="S91" s="46"/>
      <c r="T91" s="46"/>
      <c r="U91" s="46"/>
      <c r="V91" s="46"/>
      <c r="W91" s="46"/>
      <c r="X91" s="46"/>
      <c r="AT91" s="551">
        <v>11.8</v>
      </c>
      <c r="AU91" s="552">
        <v>11.85</v>
      </c>
    </row>
    <row r="92" spans="1:47" ht="16.5" customHeight="1">
      <c r="A92" s="46"/>
      <c r="B92" s="46"/>
      <c r="C92" s="46"/>
      <c r="D92" s="1212"/>
      <c r="E92" s="1212"/>
      <c r="F92" s="154"/>
      <c r="G92" s="1212"/>
      <c r="H92" s="155"/>
      <c r="I92" s="155"/>
      <c r="J92" s="155"/>
      <c r="K92" s="46"/>
      <c r="L92" s="46"/>
      <c r="M92" s="1212"/>
      <c r="N92" s="1212"/>
      <c r="O92" s="46"/>
      <c r="P92" s="46"/>
      <c r="Q92" s="46"/>
      <c r="R92" s="46"/>
      <c r="S92" s="46"/>
      <c r="T92" s="46"/>
      <c r="U92" s="46"/>
      <c r="V92" s="46"/>
      <c r="W92" s="46"/>
      <c r="X92" s="46"/>
      <c r="AT92" s="551">
        <v>11.9</v>
      </c>
      <c r="AU92" s="552">
        <v>11.95</v>
      </c>
    </row>
    <row r="93" spans="1:47" ht="16.5" customHeight="1">
      <c r="A93" s="46"/>
      <c r="B93" s="46"/>
      <c r="C93" s="46"/>
      <c r="D93" s="1212"/>
      <c r="E93" s="1212"/>
      <c r="F93" s="154"/>
      <c r="G93" s="1212"/>
      <c r="H93" s="155"/>
      <c r="I93" s="155"/>
      <c r="J93" s="155"/>
      <c r="K93" s="46"/>
      <c r="L93" s="46"/>
      <c r="M93" s="1212"/>
      <c r="N93" s="1212"/>
      <c r="O93" s="46"/>
      <c r="P93" s="46"/>
      <c r="Q93" s="46"/>
      <c r="R93" s="46"/>
      <c r="S93" s="46"/>
      <c r="T93" s="46"/>
      <c r="U93" s="46"/>
      <c r="V93" s="46"/>
      <c r="W93" s="46"/>
      <c r="X93" s="46"/>
      <c r="AT93" s="551">
        <v>12</v>
      </c>
      <c r="AU93" s="552">
        <v>12.06</v>
      </c>
    </row>
    <row r="94" spans="1:47" ht="16.5" customHeight="1">
      <c r="A94" s="46"/>
      <c r="B94" s="46"/>
      <c r="C94" s="46"/>
      <c r="D94" s="1212"/>
      <c r="E94" s="1212"/>
      <c r="F94" s="154"/>
      <c r="G94" s="1212"/>
      <c r="H94" s="155"/>
      <c r="I94" s="155"/>
      <c r="J94" s="155"/>
      <c r="K94" s="46"/>
      <c r="L94" s="46"/>
      <c r="M94" s="1212"/>
      <c r="N94" s="1212"/>
      <c r="O94" s="46"/>
      <c r="P94" s="46"/>
      <c r="Q94" s="46"/>
      <c r="R94" s="46"/>
      <c r="S94" s="46"/>
      <c r="T94" s="46"/>
      <c r="U94" s="46"/>
      <c r="V94" s="46"/>
      <c r="W94" s="46"/>
      <c r="X94" s="46"/>
      <c r="AT94" s="551">
        <v>12.1</v>
      </c>
      <c r="AU94" s="552">
        <v>12.17</v>
      </c>
    </row>
    <row r="95" spans="1:47" ht="16.5" customHeight="1">
      <c r="A95" s="46"/>
      <c r="B95" s="46"/>
      <c r="C95" s="46"/>
      <c r="D95" s="1212"/>
      <c r="E95" s="1212"/>
      <c r="F95" s="154"/>
      <c r="G95" s="1212"/>
      <c r="H95" s="155"/>
      <c r="I95" s="155"/>
      <c r="J95" s="155"/>
      <c r="K95" s="46"/>
      <c r="L95" s="46"/>
      <c r="M95" s="1212"/>
      <c r="N95" s="1212"/>
      <c r="O95" s="46"/>
      <c r="P95" s="46"/>
      <c r="Q95" s="46"/>
      <c r="R95" s="46"/>
      <c r="S95" s="46"/>
      <c r="T95" s="46"/>
      <c r="U95" s="46"/>
      <c r="V95" s="46"/>
      <c r="W95" s="46"/>
      <c r="X95" s="46"/>
      <c r="AT95" s="551">
        <v>12.2</v>
      </c>
      <c r="AU95" s="552">
        <v>12.27</v>
      </c>
    </row>
    <row r="96" spans="1:47" ht="16.5" customHeight="1">
      <c r="A96" s="46"/>
      <c r="B96" s="46"/>
      <c r="C96" s="46"/>
      <c r="D96" s="1212"/>
      <c r="E96" s="1212"/>
      <c r="F96" s="154"/>
      <c r="G96" s="1212"/>
      <c r="H96" s="155"/>
      <c r="I96" s="155"/>
      <c r="J96" s="155"/>
      <c r="K96" s="46"/>
      <c r="L96" s="46"/>
      <c r="M96" s="1212"/>
      <c r="N96" s="1212"/>
      <c r="O96" s="46"/>
      <c r="P96" s="46"/>
      <c r="Q96" s="46"/>
      <c r="R96" s="46"/>
      <c r="S96" s="46"/>
      <c r="T96" s="46"/>
      <c r="U96" s="46"/>
      <c r="V96" s="46"/>
      <c r="W96" s="46"/>
      <c r="X96" s="46"/>
      <c r="AT96" s="551">
        <v>12.3</v>
      </c>
      <c r="AU96" s="552">
        <v>12.38</v>
      </c>
    </row>
    <row r="97" spans="1:47" ht="16.5" customHeight="1">
      <c r="A97" s="46"/>
      <c r="B97" s="46"/>
      <c r="C97" s="46"/>
      <c r="D97" s="1212"/>
      <c r="E97" s="1212"/>
      <c r="F97" s="154"/>
      <c r="G97" s="1212"/>
      <c r="H97" s="155"/>
      <c r="I97" s="155"/>
      <c r="J97" s="155"/>
      <c r="K97" s="46"/>
      <c r="L97" s="46"/>
      <c r="M97" s="1212"/>
      <c r="N97" s="1212"/>
      <c r="O97" s="46"/>
      <c r="P97" s="46"/>
      <c r="Q97" s="46"/>
      <c r="R97" s="46"/>
      <c r="S97" s="46"/>
      <c r="T97" s="46"/>
      <c r="U97" s="46"/>
      <c r="V97" s="46"/>
      <c r="W97" s="46"/>
      <c r="X97" s="46"/>
      <c r="AT97" s="551">
        <v>12.4</v>
      </c>
      <c r="AU97" s="552">
        <v>12.48</v>
      </c>
    </row>
    <row r="98" spans="1:47" ht="16.5" customHeight="1">
      <c r="A98" s="46"/>
      <c r="B98" s="46"/>
      <c r="C98" s="46"/>
      <c r="D98" s="1212"/>
      <c r="E98" s="1212"/>
      <c r="F98" s="154"/>
      <c r="G98" s="1212"/>
      <c r="H98" s="155"/>
      <c r="I98" s="155"/>
      <c r="J98" s="155"/>
      <c r="K98" s="46"/>
      <c r="L98" s="46"/>
      <c r="M98" s="1212"/>
      <c r="N98" s="1212"/>
      <c r="O98" s="46"/>
      <c r="P98" s="46"/>
      <c r="Q98" s="46"/>
      <c r="R98" s="46"/>
      <c r="S98" s="46"/>
      <c r="T98" s="46"/>
      <c r="U98" s="46"/>
      <c r="V98" s="46"/>
      <c r="W98" s="46"/>
      <c r="X98" s="46"/>
      <c r="AT98" s="551">
        <v>12.5</v>
      </c>
      <c r="AU98" s="552">
        <v>12.59</v>
      </c>
    </row>
    <row r="99" spans="1:47" ht="16.5" customHeight="1">
      <c r="A99" s="46"/>
      <c r="B99" s="46"/>
      <c r="C99" s="46"/>
      <c r="D99" s="1212"/>
      <c r="E99" s="1212"/>
      <c r="F99" s="154"/>
      <c r="G99" s="1212"/>
      <c r="H99" s="155"/>
      <c r="I99" s="155"/>
      <c r="J99" s="155"/>
      <c r="K99" s="46"/>
      <c r="L99" s="46"/>
      <c r="M99" s="1212"/>
      <c r="N99" s="1212"/>
      <c r="O99" s="46"/>
      <c r="P99" s="46"/>
      <c r="Q99" s="46"/>
      <c r="R99" s="46"/>
      <c r="S99" s="46"/>
      <c r="T99" s="46"/>
      <c r="U99" s="46"/>
      <c r="V99" s="46"/>
      <c r="W99" s="46"/>
      <c r="X99" s="46"/>
      <c r="AT99" s="551">
        <v>12.6</v>
      </c>
      <c r="AU99" s="552">
        <v>12.69</v>
      </c>
    </row>
    <row r="100" spans="1:47" ht="16.5" customHeight="1">
      <c r="A100" s="46"/>
      <c r="B100" s="46"/>
      <c r="C100" s="46"/>
      <c r="D100" s="1212"/>
      <c r="E100" s="1212"/>
      <c r="F100" s="154"/>
      <c r="G100" s="1212"/>
      <c r="H100" s="155"/>
      <c r="I100" s="155"/>
      <c r="J100" s="155"/>
      <c r="K100" s="46"/>
      <c r="L100" s="46"/>
      <c r="M100" s="1212"/>
      <c r="N100" s="1212"/>
      <c r="O100" s="46"/>
      <c r="P100" s="46"/>
      <c r="Q100" s="46"/>
      <c r="R100" s="46"/>
      <c r="S100" s="46"/>
      <c r="T100" s="46"/>
      <c r="U100" s="46"/>
      <c r="V100" s="46"/>
      <c r="W100" s="46"/>
      <c r="X100" s="46"/>
      <c r="AT100" s="551">
        <v>12.7</v>
      </c>
      <c r="AU100" s="552">
        <v>12.8</v>
      </c>
    </row>
    <row r="101" spans="1:47" ht="16.5" customHeight="1">
      <c r="A101" s="46"/>
      <c r="B101" s="46"/>
      <c r="C101" s="46"/>
      <c r="D101" s="1212"/>
      <c r="E101" s="1212"/>
      <c r="F101" s="154"/>
      <c r="G101" s="1212"/>
      <c r="H101" s="155"/>
      <c r="I101" s="155"/>
      <c r="J101" s="155"/>
      <c r="K101" s="46"/>
      <c r="L101" s="46"/>
      <c r="M101" s="1212"/>
      <c r="N101" s="1212"/>
      <c r="O101" s="46"/>
      <c r="P101" s="46"/>
      <c r="Q101" s="46"/>
      <c r="R101" s="46"/>
      <c r="S101" s="46"/>
      <c r="T101" s="46"/>
      <c r="U101" s="46"/>
      <c r="V101" s="46"/>
      <c r="W101" s="46"/>
      <c r="X101" s="46"/>
      <c r="AT101" s="551">
        <v>12.8</v>
      </c>
      <c r="AU101" s="552">
        <v>12.9</v>
      </c>
    </row>
    <row r="102" spans="1:47" ht="16.5" customHeight="1">
      <c r="A102" s="46"/>
      <c r="B102" s="46"/>
      <c r="C102" s="46"/>
      <c r="D102" s="1212"/>
      <c r="E102" s="1212"/>
      <c r="F102" s="154"/>
      <c r="G102" s="1212"/>
      <c r="H102" s="155"/>
      <c r="I102" s="155"/>
      <c r="J102" s="155"/>
      <c r="K102" s="46"/>
      <c r="L102" s="46"/>
      <c r="M102" s="1212"/>
      <c r="N102" s="1212"/>
      <c r="O102" s="46"/>
      <c r="P102" s="46"/>
      <c r="Q102" s="46"/>
      <c r="R102" s="46"/>
      <c r="S102" s="46"/>
      <c r="T102" s="46"/>
      <c r="U102" s="46"/>
      <c r="V102" s="46"/>
      <c r="W102" s="46"/>
      <c r="X102" s="46"/>
      <c r="AT102" s="551">
        <v>12.9</v>
      </c>
      <c r="AU102" s="552">
        <v>13.01</v>
      </c>
    </row>
    <row r="103" spans="1:47" ht="16.5" customHeight="1">
      <c r="A103" s="46"/>
      <c r="B103" s="46"/>
      <c r="C103" s="46"/>
      <c r="D103" s="1213"/>
      <c r="E103" s="1212"/>
      <c r="F103" s="154"/>
      <c r="G103" s="154"/>
      <c r="H103" s="155"/>
      <c r="I103" s="155"/>
      <c r="J103" s="155"/>
      <c r="K103" s="46"/>
      <c r="L103" s="46"/>
      <c r="M103" s="1212"/>
      <c r="N103" s="1212"/>
      <c r="O103" s="46"/>
      <c r="P103" s="46"/>
      <c r="Q103" s="46"/>
      <c r="R103" s="46"/>
      <c r="S103" s="46"/>
      <c r="T103" s="46"/>
      <c r="U103" s="46"/>
      <c r="V103" s="46"/>
      <c r="W103" s="46"/>
      <c r="X103" s="46"/>
      <c r="AT103" s="551">
        <v>13</v>
      </c>
      <c r="AU103" s="552">
        <v>13.11</v>
      </c>
    </row>
    <row r="104" spans="1:47" ht="16.5" customHeight="1">
      <c r="A104" s="46"/>
      <c r="B104" s="46"/>
      <c r="C104" s="46"/>
      <c r="D104" s="1212"/>
      <c r="E104" s="1212"/>
      <c r="F104" s="154"/>
      <c r="G104" s="154"/>
      <c r="H104" s="155"/>
      <c r="I104" s="155"/>
      <c r="J104" s="155"/>
      <c r="K104" s="46"/>
      <c r="L104" s="46"/>
      <c r="M104" s="1212"/>
      <c r="N104" s="1212"/>
      <c r="O104" s="46"/>
      <c r="P104" s="46"/>
      <c r="Q104" s="46"/>
      <c r="R104" s="46"/>
      <c r="S104" s="46"/>
      <c r="T104" s="46"/>
      <c r="U104" s="46"/>
      <c r="V104" s="46"/>
      <c r="W104" s="46"/>
      <c r="X104" s="46"/>
      <c r="AT104" s="551">
        <v>13.1</v>
      </c>
      <c r="AU104" s="552">
        <v>13.22</v>
      </c>
    </row>
    <row r="105" spans="1:47" ht="16.5" customHeight="1">
      <c r="A105" s="46"/>
      <c r="B105" s="46"/>
      <c r="C105" s="46"/>
      <c r="D105" s="1212"/>
      <c r="E105" s="1212"/>
      <c r="F105" s="154"/>
      <c r="G105" s="154"/>
      <c r="H105" s="155"/>
      <c r="I105" s="155"/>
      <c r="J105" s="155"/>
      <c r="K105" s="46"/>
      <c r="L105" s="46"/>
      <c r="M105" s="1212"/>
      <c r="N105" s="1212"/>
      <c r="O105" s="46"/>
      <c r="P105" s="46"/>
      <c r="Q105" s="46"/>
      <c r="R105" s="46"/>
      <c r="S105" s="46"/>
      <c r="T105" s="46"/>
      <c r="U105" s="46"/>
      <c r="V105" s="46"/>
      <c r="W105" s="46"/>
      <c r="X105" s="46"/>
      <c r="AT105" s="551">
        <v>13.2</v>
      </c>
      <c r="AU105" s="552">
        <v>13.32</v>
      </c>
    </row>
    <row r="106" spans="1:47" ht="16.5" customHeight="1">
      <c r="A106" s="46"/>
      <c r="B106" s="46"/>
      <c r="C106" s="46"/>
      <c r="D106" s="156"/>
      <c r="E106" s="154"/>
      <c r="F106" s="154"/>
      <c r="G106" s="154"/>
      <c r="H106" s="155"/>
      <c r="I106" s="155"/>
      <c r="J106" s="155"/>
      <c r="K106" s="46"/>
      <c r="L106" s="46"/>
      <c r="M106" s="1212"/>
      <c r="N106" s="1212"/>
      <c r="O106" s="46"/>
      <c r="P106" s="46"/>
      <c r="Q106" s="46"/>
      <c r="R106" s="46"/>
      <c r="S106" s="46"/>
      <c r="T106" s="46"/>
      <c r="U106" s="46"/>
      <c r="V106" s="46"/>
      <c r="W106" s="46"/>
      <c r="X106" s="46"/>
      <c r="AT106" s="551">
        <v>13.3</v>
      </c>
      <c r="AU106" s="552">
        <v>13.43</v>
      </c>
    </row>
    <row r="107" spans="1:47" ht="16.5" customHeight="1">
      <c r="A107" s="46"/>
      <c r="B107" s="46"/>
      <c r="C107" s="46"/>
      <c r="D107" s="156"/>
      <c r="E107" s="154"/>
      <c r="F107" s="154"/>
      <c r="G107" s="154"/>
      <c r="H107" s="155"/>
      <c r="I107" s="155"/>
      <c r="J107" s="155"/>
      <c r="K107" s="46"/>
      <c r="L107" s="46"/>
      <c r="M107" s="1212"/>
      <c r="N107" s="1212"/>
      <c r="O107" s="46"/>
      <c r="P107" s="46"/>
      <c r="Q107" s="46"/>
      <c r="R107" s="46"/>
      <c r="S107" s="46"/>
      <c r="T107" s="46"/>
      <c r="U107" s="46"/>
      <c r="V107" s="46"/>
      <c r="W107" s="46"/>
      <c r="X107" s="46"/>
      <c r="AT107" s="551">
        <v>13.4</v>
      </c>
      <c r="AU107" s="552">
        <v>13.54</v>
      </c>
    </row>
    <row r="108" spans="1:47" ht="16.5" customHeight="1">
      <c r="A108" s="46"/>
      <c r="D108" s="156"/>
      <c r="E108" s="154"/>
      <c r="F108" s="157"/>
      <c r="G108" s="154"/>
      <c r="H108" s="155"/>
      <c r="I108" s="158"/>
      <c r="J108" s="158"/>
      <c r="M108" s="1212"/>
      <c r="N108" s="1212"/>
      <c r="O108" s="46"/>
      <c r="AT108" s="551">
        <v>13.5</v>
      </c>
      <c r="AU108" s="552">
        <v>13.64</v>
      </c>
    </row>
    <row r="109" spans="1:47" ht="16.5" customHeight="1">
      <c r="A109" s="46"/>
      <c r="D109" s="159"/>
      <c r="E109" s="157"/>
      <c r="F109" s="157"/>
      <c r="G109" s="154"/>
      <c r="H109" s="155"/>
      <c r="I109" s="158"/>
      <c r="J109" s="158"/>
      <c r="M109" s="1212"/>
      <c r="N109" s="1212"/>
      <c r="O109" s="46"/>
      <c r="AT109" s="551">
        <v>13.6</v>
      </c>
      <c r="AU109" s="552">
        <v>13.75</v>
      </c>
    </row>
    <row r="110" spans="1:47" ht="16.5" customHeight="1">
      <c r="A110" s="46"/>
      <c r="D110" s="159"/>
      <c r="E110" s="157"/>
      <c r="F110" s="157"/>
      <c r="G110" s="154"/>
      <c r="H110" s="155"/>
      <c r="I110" s="158"/>
      <c r="J110" s="158"/>
      <c r="M110" s="1212"/>
      <c r="N110" s="1212"/>
      <c r="O110" s="46"/>
      <c r="AT110" s="551">
        <v>13.7</v>
      </c>
      <c r="AU110" s="552">
        <v>13.85</v>
      </c>
    </row>
    <row r="111" spans="1:47" ht="16.5" customHeight="1">
      <c r="A111" s="46"/>
      <c r="D111" s="159"/>
      <c r="E111" s="157"/>
      <c r="F111" s="157"/>
      <c r="G111" s="154"/>
      <c r="H111" s="155"/>
      <c r="I111" s="158"/>
      <c r="J111" s="158"/>
      <c r="M111" s="1212"/>
      <c r="N111" s="1212"/>
      <c r="O111" s="46"/>
      <c r="AT111" s="551">
        <v>13.8</v>
      </c>
      <c r="AU111" s="552">
        <v>13.97</v>
      </c>
    </row>
    <row r="112" spans="1:47" ht="16.5" customHeight="1">
      <c r="A112" s="46"/>
      <c r="D112" s="159"/>
      <c r="E112" s="157"/>
      <c r="F112" s="157"/>
      <c r="G112" s="154"/>
      <c r="H112" s="155"/>
      <c r="I112" s="158"/>
      <c r="J112" s="158"/>
      <c r="M112" s="1212"/>
      <c r="N112" s="1212"/>
      <c r="O112" s="46"/>
      <c r="AT112" s="551">
        <v>13.9</v>
      </c>
      <c r="AU112" s="552">
        <v>14.07</v>
      </c>
    </row>
    <row r="113" spans="1:47" ht="16.5" customHeight="1">
      <c r="A113" s="46"/>
      <c r="D113" s="159"/>
      <c r="E113" s="157"/>
      <c r="F113" s="157"/>
      <c r="G113" s="154"/>
      <c r="H113" s="155"/>
      <c r="I113" s="158"/>
      <c r="J113" s="158"/>
      <c r="M113" s="1212"/>
      <c r="N113" s="1212"/>
      <c r="O113" s="46"/>
      <c r="AT113" s="551">
        <v>14</v>
      </c>
      <c r="AU113" s="552">
        <v>14.18</v>
      </c>
    </row>
    <row r="114" spans="1:47" ht="16.5" customHeight="1">
      <c r="A114" s="46"/>
      <c r="D114" s="159"/>
      <c r="E114" s="157"/>
      <c r="F114" s="157"/>
      <c r="G114" s="154"/>
      <c r="H114" s="155"/>
      <c r="I114" s="158"/>
      <c r="J114" s="158"/>
      <c r="M114" s="1212"/>
      <c r="N114" s="1212"/>
      <c r="O114" s="46"/>
      <c r="AT114" s="551">
        <v>14.1</v>
      </c>
      <c r="AU114" s="552">
        <v>14.28</v>
      </c>
    </row>
    <row r="115" spans="1:47" ht="16.5" customHeight="1">
      <c r="A115" s="46"/>
      <c r="D115" s="159"/>
      <c r="E115" s="157"/>
      <c r="F115" s="157"/>
      <c r="G115" s="154"/>
      <c r="H115" s="155"/>
      <c r="I115" s="158"/>
      <c r="J115" s="158"/>
      <c r="M115" s="1212"/>
      <c r="N115" s="1212"/>
      <c r="O115" s="46"/>
      <c r="AT115" s="551">
        <v>14.2</v>
      </c>
      <c r="AU115" s="552">
        <v>14.39</v>
      </c>
    </row>
    <row r="116" spans="1:47" ht="16.5" customHeight="1">
      <c r="A116" s="46"/>
      <c r="D116" s="159"/>
      <c r="E116" s="157"/>
      <c r="F116" s="157"/>
      <c r="G116" s="154"/>
      <c r="H116" s="155"/>
      <c r="I116" s="158"/>
      <c r="J116" s="158"/>
      <c r="M116" s="1212"/>
      <c r="N116" s="1212"/>
      <c r="O116" s="46"/>
      <c r="AT116" s="551">
        <v>14.3</v>
      </c>
      <c r="AU116" s="552">
        <v>14.5</v>
      </c>
    </row>
    <row r="117" spans="1:47" ht="16.5" customHeight="1">
      <c r="D117" s="159"/>
      <c r="E117" s="157"/>
      <c r="F117" s="157"/>
      <c r="G117" s="154"/>
      <c r="H117" s="155"/>
      <c r="I117" s="158"/>
      <c r="J117" s="158"/>
      <c r="M117" s="1212"/>
      <c r="N117" s="1212"/>
      <c r="O117" s="46"/>
      <c r="AT117" s="551">
        <v>14.4</v>
      </c>
      <c r="AU117" s="552">
        <v>14.61</v>
      </c>
    </row>
    <row r="118" spans="1:47" ht="16.5" customHeight="1">
      <c r="D118" s="159"/>
      <c r="E118" s="157"/>
      <c r="F118" s="157"/>
      <c r="G118" s="154"/>
      <c r="H118" s="155"/>
      <c r="I118" s="158"/>
      <c r="J118" s="158"/>
      <c r="M118" s="1212"/>
      <c r="N118" s="1212"/>
      <c r="O118" s="46"/>
      <c r="AT118" s="551">
        <v>14.5</v>
      </c>
      <c r="AU118" s="552">
        <v>14.72</v>
      </c>
    </row>
    <row r="119" spans="1:47" ht="16.5" customHeight="1">
      <c r="D119" s="159"/>
      <c r="E119" s="157"/>
      <c r="F119" s="157"/>
      <c r="G119" s="154"/>
      <c r="H119" s="155"/>
      <c r="I119" s="158"/>
      <c r="J119" s="158"/>
      <c r="M119" s="1212"/>
      <c r="N119" s="1212"/>
      <c r="O119" s="46"/>
      <c r="AT119" s="551">
        <v>14.6</v>
      </c>
      <c r="AU119" s="552">
        <v>14.82</v>
      </c>
    </row>
    <row r="120" spans="1:47" ht="16.5" customHeight="1">
      <c r="D120" s="159"/>
      <c r="E120" s="157"/>
      <c r="F120" s="157"/>
      <c r="G120" s="157"/>
      <c r="H120" s="158"/>
      <c r="I120" s="158"/>
      <c r="J120" s="158"/>
      <c r="M120" s="1212"/>
      <c r="N120" s="1212"/>
      <c r="O120" s="46"/>
      <c r="AT120" s="551">
        <v>14.7</v>
      </c>
      <c r="AU120" s="552">
        <v>14.93</v>
      </c>
    </row>
    <row r="121" spans="1:47" ht="16.5" customHeight="1">
      <c r="D121" s="159"/>
      <c r="E121" s="157"/>
      <c r="F121" s="158"/>
      <c r="G121" s="157"/>
      <c r="H121" s="158"/>
      <c r="I121" s="158"/>
      <c r="J121" s="158"/>
      <c r="M121" s="1212"/>
      <c r="N121" s="1212"/>
      <c r="O121" s="46"/>
      <c r="AT121" s="551">
        <v>14.8</v>
      </c>
      <c r="AU121" s="552">
        <v>15.03</v>
      </c>
    </row>
    <row r="122" spans="1:47" ht="16.5" customHeight="1">
      <c r="D122" s="160"/>
      <c r="E122" s="161"/>
      <c r="F122" s="158"/>
      <c r="G122" s="157"/>
      <c r="H122" s="158"/>
      <c r="I122" s="158"/>
      <c r="J122" s="158"/>
      <c r="M122" s="1212"/>
      <c r="N122" s="1212"/>
      <c r="O122" s="46"/>
      <c r="AT122" s="551">
        <v>14.9</v>
      </c>
      <c r="AU122" s="552">
        <v>15.14</v>
      </c>
    </row>
    <row r="123" spans="1:47" ht="16.5" customHeight="1">
      <c r="D123" s="160"/>
      <c r="E123" s="161"/>
      <c r="F123" s="158"/>
      <c r="G123" s="157"/>
      <c r="H123" s="158"/>
      <c r="I123" s="158"/>
      <c r="J123" s="158"/>
      <c r="M123" s="1212"/>
      <c r="N123" s="1212"/>
      <c r="O123" s="46"/>
      <c r="AT123" s="551">
        <v>15</v>
      </c>
      <c r="AU123" s="552">
        <v>15.25</v>
      </c>
    </row>
    <row r="124" spans="1:47" ht="16.5" customHeight="1">
      <c r="D124" s="160"/>
      <c r="E124" s="161"/>
      <c r="F124" s="158"/>
      <c r="G124" s="157"/>
      <c r="H124" s="158"/>
      <c r="I124" s="158"/>
      <c r="J124" s="158"/>
      <c r="M124" s="1212"/>
      <c r="N124" s="1212"/>
      <c r="O124" s="46"/>
      <c r="AT124" s="551">
        <v>15.1</v>
      </c>
      <c r="AU124" s="552">
        <v>15.36</v>
      </c>
    </row>
    <row r="125" spans="1:47" ht="16.5" customHeight="1">
      <c r="D125" s="160"/>
      <c r="E125" s="161"/>
      <c r="F125" s="158"/>
      <c r="G125" s="157"/>
      <c r="H125" s="158"/>
      <c r="I125" s="158"/>
      <c r="J125" s="158"/>
      <c r="M125" s="1212"/>
      <c r="N125" s="1212"/>
      <c r="O125" s="46"/>
      <c r="AT125" s="551">
        <v>15.2</v>
      </c>
      <c r="AU125" s="552">
        <v>15.47</v>
      </c>
    </row>
    <row r="126" spans="1:47" ht="16.5" customHeight="1">
      <c r="D126" s="160"/>
      <c r="E126" s="161"/>
      <c r="F126" s="158"/>
      <c r="G126" s="157"/>
      <c r="H126" s="158"/>
      <c r="I126" s="158"/>
      <c r="J126" s="158"/>
      <c r="M126" s="1212"/>
      <c r="N126" s="1212"/>
      <c r="O126" s="46"/>
      <c r="AT126" s="551">
        <v>15.3</v>
      </c>
      <c r="AU126" s="552">
        <v>15.57</v>
      </c>
    </row>
    <row r="127" spans="1:47" ht="16.5" customHeight="1">
      <c r="D127" s="160"/>
      <c r="E127" s="161"/>
      <c r="F127" s="158"/>
      <c r="G127" s="157"/>
      <c r="H127" s="158"/>
      <c r="I127" s="158"/>
      <c r="J127" s="158"/>
      <c r="M127" s="1212"/>
      <c r="N127" s="1212"/>
      <c r="O127" s="46"/>
      <c r="AT127" s="551">
        <v>15.4</v>
      </c>
      <c r="AU127" s="552">
        <v>15.69</v>
      </c>
    </row>
    <row r="128" spans="1:47" ht="16.5" customHeight="1">
      <c r="D128" s="160"/>
      <c r="E128" s="161"/>
      <c r="F128" s="158"/>
      <c r="G128" s="157"/>
      <c r="H128" s="158"/>
      <c r="I128" s="158"/>
      <c r="J128" s="158"/>
      <c r="M128" s="1212"/>
      <c r="N128" s="1212"/>
      <c r="O128" s="46"/>
      <c r="AT128" s="551">
        <v>15.5</v>
      </c>
      <c r="AU128" s="552">
        <v>15.79</v>
      </c>
    </row>
    <row r="129" spans="4:47" ht="16.5" customHeight="1">
      <c r="D129" s="160"/>
      <c r="E129" s="161"/>
      <c r="F129" s="158"/>
      <c r="G129" s="157"/>
      <c r="H129" s="158"/>
      <c r="I129" s="158"/>
      <c r="J129" s="158"/>
      <c r="M129" s="1212"/>
      <c r="N129" s="1212"/>
      <c r="O129" s="46"/>
      <c r="AT129" s="551">
        <v>15.6</v>
      </c>
      <c r="AU129" s="552">
        <v>15.9</v>
      </c>
    </row>
    <row r="130" spans="4:47" ht="16.5" customHeight="1">
      <c r="D130" s="160"/>
      <c r="E130" s="161"/>
      <c r="F130" s="158"/>
      <c r="G130" s="157"/>
      <c r="H130" s="158"/>
      <c r="I130" s="158"/>
      <c r="J130" s="158"/>
      <c r="M130" s="1212"/>
      <c r="N130" s="1212"/>
      <c r="O130" s="46"/>
      <c r="AT130" s="551">
        <v>15.7</v>
      </c>
      <c r="AU130" s="552">
        <v>16</v>
      </c>
    </row>
    <row r="131" spans="4:47" ht="16.5" customHeight="1">
      <c r="D131" s="160"/>
      <c r="E131" s="161"/>
      <c r="F131" s="158"/>
      <c r="G131" s="157"/>
      <c r="H131" s="158"/>
      <c r="I131" s="158"/>
      <c r="J131" s="158"/>
      <c r="M131" s="1212"/>
      <c r="N131" s="1212"/>
      <c r="O131" s="46"/>
      <c r="AT131" s="551">
        <v>15.8</v>
      </c>
      <c r="AU131" s="552">
        <v>16.11</v>
      </c>
    </row>
    <row r="132" spans="4:47" ht="16.5" customHeight="1">
      <c r="D132" s="160"/>
      <c r="E132" s="161"/>
      <c r="F132" s="158"/>
      <c r="G132" s="157"/>
      <c r="H132" s="158"/>
      <c r="I132" s="158"/>
      <c r="J132" s="158"/>
      <c r="M132" s="1212"/>
      <c r="N132" s="1212"/>
      <c r="O132" s="46"/>
      <c r="AT132" s="551">
        <v>15.9</v>
      </c>
      <c r="AU132" s="552">
        <v>16.22</v>
      </c>
    </row>
    <row r="133" spans="4:47" ht="16.5" customHeight="1">
      <c r="D133" s="160"/>
      <c r="E133" s="161"/>
      <c r="F133" s="158"/>
      <c r="G133" s="158"/>
      <c r="H133" s="158"/>
      <c r="I133" s="158"/>
      <c r="J133" s="158"/>
      <c r="M133" s="1212"/>
      <c r="N133" s="1212"/>
      <c r="O133" s="46"/>
      <c r="AT133" s="551">
        <v>16</v>
      </c>
      <c r="AU133" s="552">
        <v>16.34</v>
      </c>
    </row>
    <row r="134" spans="4:47" ht="16.5" customHeight="1">
      <c r="D134" s="160"/>
      <c r="E134" s="161"/>
      <c r="F134" s="158"/>
      <c r="G134" s="158"/>
      <c r="H134" s="158"/>
      <c r="I134" s="158"/>
      <c r="J134" s="158"/>
      <c r="M134" s="1212"/>
      <c r="N134" s="1212"/>
      <c r="O134" s="46"/>
      <c r="AT134" s="551">
        <v>16.100000000000001</v>
      </c>
      <c r="AU134" s="552">
        <v>16.45</v>
      </c>
    </row>
    <row r="135" spans="4:47" ht="16.5" customHeight="1">
      <c r="D135" s="160"/>
      <c r="E135" s="161"/>
      <c r="F135" s="158"/>
      <c r="G135" s="158"/>
      <c r="H135" s="158"/>
      <c r="I135" s="158"/>
      <c r="J135" s="158"/>
      <c r="M135" s="1212"/>
      <c r="N135" s="1212"/>
      <c r="O135" s="46"/>
      <c r="AT135" s="551">
        <v>16.2</v>
      </c>
      <c r="AU135" s="552">
        <v>16.559999999999999</v>
      </c>
    </row>
    <row r="136" spans="4:47" ht="16.5" customHeight="1">
      <c r="D136" s="160"/>
      <c r="E136" s="161"/>
      <c r="F136" s="158"/>
      <c r="G136" s="158"/>
      <c r="H136" s="158"/>
      <c r="I136" s="158"/>
      <c r="J136" s="158"/>
      <c r="M136" s="1212"/>
      <c r="N136" s="1212"/>
      <c r="O136" s="46"/>
      <c r="AT136" s="551">
        <v>16.3</v>
      </c>
      <c r="AU136" s="552">
        <v>16.670000000000002</v>
      </c>
    </row>
    <row r="137" spans="4:47" ht="16.5" customHeight="1">
      <c r="D137" s="160"/>
      <c r="E137" s="161"/>
      <c r="F137" s="158"/>
      <c r="G137" s="158"/>
      <c r="H137" s="158"/>
      <c r="I137" s="158"/>
      <c r="J137" s="158"/>
      <c r="M137" s="1212"/>
      <c r="N137" s="1212"/>
      <c r="O137" s="46"/>
      <c r="AT137" s="551">
        <v>16.399999999999999</v>
      </c>
      <c r="AU137" s="552">
        <v>16.77</v>
      </c>
    </row>
    <row r="138" spans="4:47" ht="16.5" customHeight="1">
      <c r="D138" s="160"/>
      <c r="E138" s="161"/>
      <c r="F138" s="158"/>
      <c r="G138" s="158"/>
      <c r="H138" s="158"/>
      <c r="I138" s="158"/>
      <c r="J138" s="158"/>
      <c r="M138" s="1212"/>
      <c r="N138" s="1212"/>
      <c r="O138" s="46"/>
      <c r="AT138" s="551">
        <v>16.5</v>
      </c>
      <c r="AU138" s="552">
        <v>16.88</v>
      </c>
    </row>
    <row r="139" spans="4:47" ht="16.5" customHeight="1">
      <c r="D139" s="160"/>
      <c r="E139" s="161"/>
      <c r="F139" s="158"/>
      <c r="G139" s="158"/>
      <c r="H139" s="158"/>
      <c r="I139" s="158"/>
      <c r="J139" s="158"/>
      <c r="M139" s="1212"/>
      <c r="N139" s="1212"/>
      <c r="O139" s="46"/>
      <c r="AT139" s="551">
        <v>16.600000000000001</v>
      </c>
      <c r="AU139" s="552">
        <v>16.989999999999998</v>
      </c>
    </row>
    <row r="140" spans="4:47" ht="16.5" customHeight="1">
      <c r="D140" s="160"/>
      <c r="E140" s="161"/>
      <c r="F140" s="158"/>
      <c r="G140" s="158"/>
      <c r="H140" s="158"/>
      <c r="I140" s="158"/>
      <c r="J140" s="158"/>
      <c r="M140" s="1212"/>
      <c r="N140" s="1212"/>
      <c r="O140" s="46"/>
      <c r="AT140" s="551">
        <v>16.7</v>
      </c>
      <c r="AU140" s="552">
        <v>17.100000000000001</v>
      </c>
    </row>
    <row r="141" spans="4:47" ht="16.5" customHeight="1">
      <c r="D141" s="160"/>
      <c r="E141" s="161"/>
      <c r="F141" s="158"/>
      <c r="G141" s="158"/>
      <c r="H141" s="158"/>
      <c r="I141" s="158"/>
      <c r="J141" s="158"/>
      <c r="M141" s="1212"/>
      <c r="N141" s="1212"/>
      <c r="O141" s="46"/>
      <c r="AT141" s="551">
        <v>16.8</v>
      </c>
      <c r="AU141" s="552">
        <v>17.21</v>
      </c>
    </row>
    <row r="142" spans="4:47" ht="16.5" customHeight="1">
      <c r="D142" s="160"/>
      <c r="E142" s="161"/>
      <c r="F142" s="158"/>
      <c r="G142" s="158"/>
      <c r="H142" s="158"/>
      <c r="I142" s="158"/>
      <c r="J142" s="158"/>
      <c r="M142" s="1212"/>
      <c r="N142" s="1212"/>
      <c r="O142" s="46"/>
      <c r="AT142" s="551">
        <v>16.899999999999999</v>
      </c>
      <c r="AU142" s="552">
        <v>17.309999999999999</v>
      </c>
    </row>
    <row r="143" spans="4:47" ht="16.5" customHeight="1">
      <c r="D143" s="160"/>
      <c r="E143" s="161"/>
      <c r="F143" s="158"/>
      <c r="G143" s="158"/>
      <c r="H143" s="158"/>
      <c r="I143" s="158"/>
      <c r="J143" s="158"/>
      <c r="M143" s="1212"/>
      <c r="N143" s="1212"/>
      <c r="O143" s="46"/>
      <c r="AT143" s="551">
        <v>17</v>
      </c>
      <c r="AU143" s="552">
        <v>17.43</v>
      </c>
    </row>
    <row r="144" spans="4:47" ht="16.5" customHeight="1">
      <c r="D144" s="160"/>
      <c r="E144" s="161"/>
      <c r="F144" s="158"/>
      <c r="G144" s="158"/>
      <c r="H144" s="158"/>
      <c r="I144" s="158"/>
      <c r="J144" s="158"/>
      <c r="M144" s="1212"/>
      <c r="N144" s="1212"/>
      <c r="O144" s="46"/>
      <c r="AT144" s="551">
        <v>17.100000000000001</v>
      </c>
      <c r="AU144" s="552">
        <v>17.54</v>
      </c>
    </row>
    <row r="145" spans="4:47" ht="16.5" customHeight="1">
      <c r="D145" s="160"/>
      <c r="E145" s="161"/>
      <c r="F145" s="158"/>
      <c r="G145" s="158"/>
      <c r="H145" s="158"/>
      <c r="I145" s="158"/>
      <c r="J145" s="158"/>
      <c r="M145" s="1212"/>
      <c r="N145" s="1212"/>
      <c r="O145" s="46"/>
      <c r="AT145" s="551">
        <v>17.2</v>
      </c>
      <c r="AU145" s="552">
        <v>17.649999999999999</v>
      </c>
    </row>
    <row r="146" spans="4:47" ht="16.5" customHeight="1">
      <c r="D146" s="160"/>
      <c r="E146" s="161"/>
      <c r="F146" s="158"/>
      <c r="G146" s="158"/>
      <c r="H146" s="158"/>
      <c r="I146" s="158"/>
      <c r="J146" s="158"/>
      <c r="M146" s="1212"/>
      <c r="N146" s="1212"/>
      <c r="O146" s="46"/>
      <c r="AT146" s="551">
        <v>17.3</v>
      </c>
      <c r="AU146" s="552">
        <v>17.760000000000002</v>
      </c>
    </row>
    <row r="147" spans="4:47" ht="16.5" customHeight="1">
      <c r="D147" s="160"/>
      <c r="E147" s="161"/>
      <c r="F147" s="158"/>
      <c r="G147" s="158"/>
      <c r="H147" s="158"/>
      <c r="I147" s="158"/>
      <c r="J147" s="158"/>
      <c r="M147" s="1212"/>
      <c r="N147" s="1212"/>
      <c r="O147" s="46"/>
      <c r="AT147" s="551">
        <v>17.399999999999999</v>
      </c>
      <c r="AU147" s="552">
        <v>17.87</v>
      </c>
    </row>
    <row r="148" spans="4:47" ht="16.5" customHeight="1">
      <c r="D148" s="160"/>
      <c r="E148" s="161"/>
      <c r="F148" s="158"/>
      <c r="G148" s="158"/>
      <c r="H148" s="158"/>
      <c r="I148" s="158"/>
      <c r="J148" s="158"/>
      <c r="M148" s="1212"/>
      <c r="N148" s="1212"/>
      <c r="O148" s="46"/>
      <c r="AT148" s="551">
        <v>17.5</v>
      </c>
      <c r="AU148" s="552">
        <v>17.97</v>
      </c>
    </row>
    <row r="149" spans="4:47" ht="16.5" customHeight="1">
      <c r="D149" s="160"/>
      <c r="E149" s="161"/>
      <c r="F149" s="158"/>
      <c r="G149" s="158"/>
      <c r="H149" s="158"/>
      <c r="I149" s="158"/>
      <c r="J149" s="158"/>
      <c r="M149" s="1212"/>
      <c r="N149" s="1212"/>
      <c r="O149" s="46"/>
      <c r="AT149" s="551">
        <v>17.600000000000001</v>
      </c>
      <c r="AU149" s="552">
        <v>18.079999999999998</v>
      </c>
    </row>
    <row r="150" spans="4:47" ht="16.5" customHeight="1">
      <c r="D150" s="160"/>
      <c r="E150" s="161"/>
      <c r="F150" s="158"/>
      <c r="G150" s="158"/>
      <c r="H150" s="158"/>
      <c r="I150" s="158"/>
      <c r="J150" s="158"/>
      <c r="M150" s="1212"/>
      <c r="N150" s="1212"/>
      <c r="O150" s="46"/>
      <c r="AT150" s="551">
        <v>17.7</v>
      </c>
      <c r="AU150" s="552">
        <v>18.190000000000001</v>
      </c>
    </row>
    <row r="151" spans="4:47" ht="16.5" customHeight="1">
      <c r="D151" s="160"/>
      <c r="E151" s="161"/>
      <c r="F151" s="158"/>
      <c r="G151" s="158"/>
      <c r="H151" s="158"/>
      <c r="I151" s="158"/>
      <c r="J151" s="158"/>
      <c r="M151" s="1212"/>
      <c r="N151" s="1212"/>
      <c r="O151" s="46"/>
      <c r="AT151" s="551">
        <v>17.8</v>
      </c>
      <c r="AU151" s="552">
        <v>18.309999999999999</v>
      </c>
    </row>
    <row r="152" spans="4:47" ht="16.5" customHeight="1">
      <c r="D152" s="159"/>
      <c r="E152" s="161"/>
      <c r="F152" s="158"/>
      <c r="G152" s="158"/>
      <c r="H152" s="158"/>
      <c r="I152" s="158"/>
      <c r="J152" s="158"/>
      <c r="M152" s="1212"/>
      <c r="N152" s="1212"/>
      <c r="O152" s="46"/>
      <c r="AT152" s="551">
        <v>17.899999999999999</v>
      </c>
      <c r="AU152" s="552">
        <v>18.43</v>
      </c>
    </row>
    <row r="153" spans="4:47" ht="16.5" customHeight="1">
      <c r="D153" s="159"/>
      <c r="E153" s="161"/>
      <c r="F153" s="158"/>
      <c r="G153" s="158"/>
      <c r="H153" s="158"/>
      <c r="I153" s="158"/>
      <c r="J153" s="158"/>
      <c r="M153" s="1212"/>
      <c r="N153" s="1212"/>
      <c r="O153" s="46"/>
      <c r="AT153" s="551">
        <v>18</v>
      </c>
      <c r="AU153" s="552">
        <v>18.53</v>
      </c>
    </row>
    <row r="154" spans="4:47" ht="16.5" customHeight="1">
      <c r="D154" s="159"/>
      <c r="E154" s="161"/>
      <c r="F154" s="158"/>
      <c r="G154" s="158"/>
      <c r="H154" s="158"/>
      <c r="I154" s="158"/>
      <c r="J154" s="158"/>
      <c r="M154" s="1212"/>
      <c r="N154" s="1212"/>
      <c r="O154" s="46"/>
      <c r="AT154" s="551">
        <v>18.100000000000001</v>
      </c>
      <c r="AU154" s="552">
        <v>18.64</v>
      </c>
    </row>
    <row r="155" spans="4:47" ht="16.5" customHeight="1">
      <c r="D155" s="159"/>
      <c r="E155" s="161"/>
      <c r="F155" s="158"/>
      <c r="G155" s="158"/>
      <c r="H155" s="158"/>
      <c r="I155" s="158"/>
      <c r="J155" s="158"/>
      <c r="M155" s="1212"/>
      <c r="N155" s="1212"/>
      <c r="O155" s="46"/>
      <c r="AT155" s="551">
        <v>18.2</v>
      </c>
      <c r="AU155" s="552">
        <v>18.75</v>
      </c>
    </row>
    <row r="156" spans="4:47" ht="16.5" customHeight="1">
      <c r="D156" s="159"/>
      <c r="E156" s="161"/>
      <c r="F156" s="158"/>
      <c r="G156" s="158"/>
      <c r="H156" s="158"/>
      <c r="I156" s="158"/>
      <c r="J156" s="158"/>
      <c r="M156" s="1212"/>
      <c r="N156" s="1212"/>
      <c r="O156" s="46"/>
      <c r="AT156" s="551">
        <v>18.3</v>
      </c>
      <c r="AU156" s="552">
        <v>18.86</v>
      </c>
    </row>
    <row r="157" spans="4:47" ht="16.5" customHeight="1">
      <c r="D157" s="159"/>
      <c r="E157" s="161"/>
      <c r="F157" s="158"/>
      <c r="G157" s="158"/>
      <c r="H157" s="158"/>
      <c r="I157" s="158"/>
      <c r="J157" s="158"/>
      <c r="M157" s="1212"/>
      <c r="N157" s="1212"/>
      <c r="O157" s="46"/>
      <c r="AT157" s="551">
        <v>18.399999999999999</v>
      </c>
      <c r="AU157" s="552">
        <v>18.97</v>
      </c>
    </row>
    <row r="158" spans="4:47" ht="16.5" customHeight="1">
      <c r="D158" s="159"/>
      <c r="E158" s="161"/>
      <c r="F158" s="158"/>
      <c r="G158" s="158"/>
      <c r="H158" s="158"/>
      <c r="I158" s="158"/>
      <c r="J158" s="158"/>
      <c r="N158" s="1212"/>
      <c r="AT158" s="551">
        <v>18.5</v>
      </c>
      <c r="AU158" s="552">
        <v>19.079999999999998</v>
      </c>
    </row>
    <row r="159" spans="4:47" ht="16.5" customHeight="1">
      <c r="D159" s="159"/>
      <c r="E159" s="161"/>
      <c r="F159" s="158"/>
      <c r="G159" s="158"/>
      <c r="H159" s="158"/>
      <c r="I159" s="158"/>
      <c r="J159" s="158"/>
      <c r="AT159" s="551">
        <v>18.600000000000001</v>
      </c>
      <c r="AU159" s="552">
        <v>19.190000000000001</v>
      </c>
    </row>
    <row r="160" spans="4:47" ht="16.5" customHeight="1">
      <c r="D160" s="159"/>
      <c r="E160" s="161"/>
      <c r="F160" s="158"/>
      <c r="G160" s="158"/>
      <c r="H160" s="158"/>
      <c r="I160" s="158"/>
      <c r="J160" s="158"/>
      <c r="AT160" s="551">
        <v>18.7</v>
      </c>
      <c r="AU160" s="552">
        <v>19.309999999999999</v>
      </c>
    </row>
    <row r="161" spans="4:47" ht="16.5" customHeight="1">
      <c r="D161" s="159"/>
      <c r="E161" s="161"/>
      <c r="F161" s="158"/>
      <c r="G161" s="158"/>
      <c r="H161" s="158"/>
      <c r="I161" s="158"/>
      <c r="J161" s="158"/>
      <c r="AT161" s="551">
        <v>18.8</v>
      </c>
      <c r="AU161" s="552">
        <v>19.420000000000002</v>
      </c>
    </row>
    <row r="162" spans="4:47" ht="16.5" customHeight="1">
      <c r="D162" s="159"/>
      <c r="E162" s="161"/>
      <c r="F162" s="158"/>
      <c r="G162" s="158"/>
      <c r="H162" s="158"/>
      <c r="I162" s="158"/>
      <c r="J162" s="158"/>
      <c r="AT162" s="551">
        <v>18.899999999999999</v>
      </c>
      <c r="AU162" s="552">
        <v>19.53</v>
      </c>
    </row>
    <row r="163" spans="4:47" ht="16.5" customHeight="1">
      <c r="D163" s="159"/>
      <c r="E163" s="161"/>
      <c r="F163" s="158"/>
      <c r="G163" s="158"/>
      <c r="H163" s="158"/>
      <c r="I163" s="158"/>
      <c r="J163" s="158"/>
      <c r="AT163" s="551">
        <v>19</v>
      </c>
      <c r="AU163" s="552">
        <v>19.64</v>
      </c>
    </row>
    <row r="164" spans="4:47" ht="16.5" customHeight="1">
      <c r="D164" s="159"/>
      <c r="E164" s="161"/>
      <c r="F164" s="158"/>
      <c r="G164" s="158"/>
      <c r="H164" s="158"/>
      <c r="I164" s="158"/>
      <c r="J164" s="158"/>
      <c r="AT164" s="551">
        <v>19.100000000000001</v>
      </c>
      <c r="AU164" s="552">
        <v>19.75</v>
      </c>
    </row>
    <row r="165" spans="4:47" ht="16.5" customHeight="1">
      <c r="D165" s="159"/>
      <c r="E165" s="161"/>
      <c r="F165" s="158"/>
      <c r="G165" s="158"/>
      <c r="H165" s="158"/>
      <c r="I165" s="158"/>
      <c r="J165" s="158"/>
      <c r="AT165" s="551">
        <v>19.2</v>
      </c>
      <c r="AU165" s="552">
        <v>19.86</v>
      </c>
    </row>
    <row r="166" spans="4:47" ht="16.5" customHeight="1">
      <c r="D166" s="159"/>
      <c r="E166" s="161"/>
      <c r="F166" s="158"/>
      <c r="G166" s="158"/>
      <c r="H166" s="158"/>
      <c r="I166" s="158"/>
      <c r="J166" s="158"/>
      <c r="AT166" s="551">
        <v>19.3</v>
      </c>
      <c r="AU166" s="552">
        <v>19.97</v>
      </c>
    </row>
    <row r="167" spans="4:47" ht="16.5" customHeight="1">
      <c r="D167" s="159"/>
      <c r="E167" s="161"/>
      <c r="F167" s="158"/>
      <c r="G167" s="158"/>
      <c r="H167" s="158"/>
      <c r="I167" s="158"/>
      <c r="J167" s="158"/>
      <c r="AT167" s="551">
        <v>19.399999999999999</v>
      </c>
      <c r="AU167" s="552">
        <v>20.079999999999998</v>
      </c>
    </row>
    <row r="168" spans="4:47" ht="16.5" customHeight="1">
      <c r="D168" s="159"/>
      <c r="E168" s="161"/>
      <c r="F168" s="158"/>
      <c r="G168" s="158"/>
      <c r="H168" s="158"/>
      <c r="I168" s="158"/>
      <c r="J168" s="158"/>
      <c r="AT168" s="551">
        <v>19.5</v>
      </c>
      <c r="AU168" s="552">
        <v>20.2</v>
      </c>
    </row>
    <row r="169" spans="4:47" ht="15" customHeight="1">
      <c r="D169" s="159"/>
      <c r="E169" s="161"/>
      <c r="F169" s="158"/>
      <c r="G169" s="158"/>
      <c r="H169" s="158"/>
      <c r="I169" s="158"/>
      <c r="J169" s="158"/>
      <c r="AT169" s="551">
        <v>19.600000000000001</v>
      </c>
      <c r="AU169" s="552">
        <v>20.309999999999999</v>
      </c>
    </row>
    <row r="170" spans="4:47" ht="15" customHeight="1">
      <c r="D170" s="159"/>
      <c r="E170" s="161"/>
      <c r="F170" s="158"/>
      <c r="G170" s="158"/>
      <c r="H170" s="158"/>
      <c r="I170" s="158"/>
      <c r="J170" s="158"/>
      <c r="AT170" s="551">
        <v>19.7</v>
      </c>
      <c r="AU170" s="552">
        <v>20.420000000000002</v>
      </c>
    </row>
    <row r="171" spans="4:47" ht="15" customHeight="1">
      <c r="D171" s="159"/>
      <c r="E171" s="161"/>
      <c r="F171" s="158"/>
      <c r="G171" s="158"/>
      <c r="H171" s="158"/>
      <c r="I171" s="158"/>
      <c r="J171" s="158"/>
      <c r="AT171" s="551">
        <v>19.8</v>
      </c>
      <c r="AU171" s="552">
        <v>20.53</v>
      </c>
    </row>
    <row r="172" spans="4:47" ht="15" customHeight="1">
      <c r="D172" s="159"/>
      <c r="E172" s="161"/>
      <c r="F172" s="158"/>
      <c r="G172" s="158"/>
      <c r="H172" s="158"/>
      <c r="I172" s="158"/>
      <c r="J172" s="158"/>
      <c r="AT172" s="551">
        <v>19.899999999999999</v>
      </c>
      <c r="AU172" s="552">
        <v>20.64</v>
      </c>
    </row>
    <row r="173" spans="4:47" ht="15" customHeight="1">
      <c r="D173" s="159"/>
      <c r="E173" s="161"/>
      <c r="F173" s="158"/>
      <c r="G173" s="158"/>
      <c r="H173" s="158"/>
      <c r="I173" s="158"/>
      <c r="J173" s="158"/>
      <c r="AT173" s="553">
        <v>20</v>
      </c>
      <c r="AU173" s="554">
        <v>20.76</v>
      </c>
    </row>
    <row r="174" spans="4:47" ht="15" customHeight="1">
      <c r="D174" s="159"/>
      <c r="E174" s="161"/>
      <c r="F174" s="158"/>
      <c r="G174" s="158"/>
      <c r="H174" s="158"/>
      <c r="I174" s="158"/>
      <c r="J174" s="158"/>
    </row>
    <row r="175" spans="4:47" ht="15" customHeight="1">
      <c r="D175" s="159"/>
      <c r="E175" s="161"/>
      <c r="F175" s="158"/>
      <c r="G175" s="158"/>
      <c r="H175" s="158"/>
      <c r="I175" s="158"/>
      <c r="J175" s="158"/>
    </row>
    <row r="176" spans="4:47" ht="15" customHeight="1">
      <c r="D176" s="159"/>
      <c r="E176" s="161"/>
      <c r="F176" s="158"/>
      <c r="G176" s="158"/>
      <c r="H176" s="158"/>
      <c r="I176" s="158"/>
      <c r="J176" s="158"/>
    </row>
    <row r="177" spans="4:10" ht="15" customHeight="1">
      <c r="D177" s="159"/>
      <c r="E177" s="161"/>
      <c r="F177" s="158"/>
      <c r="G177" s="158"/>
      <c r="H177" s="158"/>
      <c r="I177" s="158"/>
      <c r="J177" s="158"/>
    </row>
    <row r="178" spans="4:10" ht="15" customHeight="1">
      <c r="D178" s="159"/>
      <c r="E178" s="161"/>
      <c r="F178" s="158"/>
      <c r="G178" s="158"/>
      <c r="H178" s="158"/>
      <c r="I178" s="158"/>
      <c r="J178" s="158"/>
    </row>
    <row r="179" spans="4:10" ht="15" customHeight="1">
      <c r="D179" s="159"/>
      <c r="E179" s="161"/>
      <c r="F179" s="158"/>
      <c r="G179" s="158"/>
      <c r="H179" s="158"/>
      <c r="I179" s="158"/>
      <c r="J179" s="158"/>
    </row>
    <row r="180" spans="4:10" ht="15" customHeight="1">
      <c r="D180" s="159"/>
      <c r="E180" s="161"/>
      <c r="F180" s="158"/>
      <c r="G180" s="158"/>
      <c r="H180" s="158"/>
      <c r="I180" s="158"/>
      <c r="J180" s="158"/>
    </row>
    <row r="181" spans="4:10" ht="15" customHeight="1">
      <c r="D181" s="159"/>
      <c r="E181" s="161"/>
      <c r="F181" s="158"/>
      <c r="G181" s="158"/>
      <c r="H181" s="158"/>
      <c r="I181" s="158"/>
      <c r="J181" s="158"/>
    </row>
    <row r="182" spans="4:10" ht="15" customHeight="1">
      <c r="D182" s="158"/>
      <c r="E182" s="158"/>
      <c r="F182" s="158"/>
      <c r="G182" s="158"/>
      <c r="H182" s="158"/>
      <c r="I182" s="158"/>
      <c r="J182" s="158"/>
    </row>
    <row r="183" spans="4:10" ht="15" customHeight="1">
      <c r="D183" s="158"/>
      <c r="E183" s="158"/>
      <c r="F183" s="158"/>
      <c r="G183" s="158"/>
      <c r="H183" s="158"/>
      <c r="I183" s="158"/>
      <c r="J183" s="158"/>
    </row>
  </sheetData>
  <sheetProtection sheet="1" selectLockedCells="1"/>
  <mergeCells count="177">
    <mergeCell ref="S9:AD15"/>
    <mergeCell ref="AE68:AG68"/>
    <mergeCell ref="AB69:AH69"/>
    <mergeCell ref="D73:G73"/>
    <mergeCell ref="I73:J73"/>
    <mergeCell ref="M73:N73"/>
    <mergeCell ref="P73:Q73"/>
    <mergeCell ref="S73:Z73"/>
    <mergeCell ref="AB73:AH73"/>
    <mergeCell ref="M70:N70"/>
    <mergeCell ref="P70:Q70"/>
    <mergeCell ref="S70:Z70"/>
    <mergeCell ref="AB70:AH70"/>
    <mergeCell ref="M71:N71"/>
    <mergeCell ref="P71:Q71"/>
    <mergeCell ref="D72:G72"/>
    <mergeCell ref="I72:J72"/>
    <mergeCell ref="AB71:AH71"/>
    <mergeCell ref="M72:N72"/>
    <mergeCell ref="P72:Q72"/>
    <mergeCell ref="S72:Z72"/>
    <mergeCell ref="AB72:AH72"/>
    <mergeCell ref="K9:L9"/>
    <mergeCell ref="I52:J52"/>
    <mergeCell ref="O9:P9"/>
    <mergeCell ref="M37:N37"/>
    <mergeCell ref="O12:P12"/>
    <mergeCell ref="D28:J28"/>
    <mergeCell ref="D27:J27"/>
    <mergeCell ref="J24:Q24"/>
    <mergeCell ref="M39:N39"/>
    <mergeCell ref="O14:P14"/>
    <mergeCell ref="I18:J18"/>
    <mergeCell ref="I19:J19"/>
    <mergeCell ref="I20:J20"/>
    <mergeCell ref="D39:J39"/>
    <mergeCell ref="M28:N28"/>
    <mergeCell ref="M33:N33"/>
    <mergeCell ref="M29:N29"/>
    <mergeCell ref="M34:N34"/>
    <mergeCell ref="M35:N35"/>
    <mergeCell ref="M32:N32"/>
    <mergeCell ref="Q37:R37"/>
    <mergeCell ref="Q33:R33"/>
    <mergeCell ref="I67:J67"/>
    <mergeCell ref="I71:J71"/>
    <mergeCell ref="D71:G71"/>
    <mergeCell ref="Q48:R48"/>
    <mergeCell ref="I70:J70"/>
    <mergeCell ref="I69:J69"/>
    <mergeCell ref="S71:Z71"/>
    <mergeCell ref="O60:P60"/>
    <mergeCell ref="J60:K60"/>
    <mergeCell ref="D69:G69"/>
    <mergeCell ref="M69:N69"/>
    <mergeCell ref="P69:Q69"/>
    <mergeCell ref="S69:Z69"/>
    <mergeCell ref="I68:J68"/>
    <mergeCell ref="R68:S68"/>
    <mergeCell ref="V68:W68"/>
    <mergeCell ref="Z68:AA68"/>
    <mergeCell ref="E52:F52"/>
    <mergeCell ref="M48:N48"/>
    <mergeCell ref="O59:P59"/>
    <mergeCell ref="J59:K59"/>
    <mergeCell ref="V48:W48"/>
    <mergeCell ref="S59:T59"/>
    <mergeCell ref="V45:W45"/>
    <mergeCell ref="V33:W33"/>
    <mergeCell ref="Q34:R34"/>
    <mergeCell ref="M38:N38"/>
    <mergeCell ref="D44:J44"/>
    <mergeCell ref="D45:J45"/>
    <mergeCell ref="D48:J48"/>
    <mergeCell ref="D55:H56"/>
    <mergeCell ref="M47:N47"/>
    <mergeCell ref="M45:N45"/>
    <mergeCell ref="M41:N41"/>
    <mergeCell ref="M43:N43"/>
    <mergeCell ref="M44:N44"/>
    <mergeCell ref="D43:J43"/>
    <mergeCell ref="AE2:AI2"/>
    <mergeCell ref="K2:Z3"/>
    <mergeCell ref="N68:O68"/>
    <mergeCell ref="U52:V52"/>
    <mergeCell ref="S67:T67"/>
    <mergeCell ref="P6:S6"/>
    <mergeCell ref="AB6:AH6"/>
    <mergeCell ref="W6:Y6"/>
    <mergeCell ref="U19:W19"/>
    <mergeCell ref="U20:W20"/>
    <mergeCell ref="Q26:R26"/>
    <mergeCell ref="M27:N27"/>
    <mergeCell ref="Q27:R27"/>
    <mergeCell ref="Q28:R28"/>
    <mergeCell ref="K20:R20"/>
    <mergeCell ref="X19:AF19"/>
    <mergeCell ref="X20:AF20"/>
    <mergeCell ref="AC60:AE60"/>
    <mergeCell ref="AC63:AE63"/>
    <mergeCell ref="Q47:R47"/>
    <mergeCell ref="AD38:AE38"/>
    <mergeCell ref="Q45:R45"/>
    <mergeCell ref="N67:O67"/>
    <mergeCell ref="C6:L6"/>
    <mergeCell ref="AE3:AI3"/>
    <mergeCell ref="U18:W18"/>
    <mergeCell ref="X67:Y67"/>
    <mergeCell ref="Q44:R44"/>
    <mergeCell ref="V44:W44"/>
    <mergeCell ref="X59:Y59"/>
    <mergeCell ref="V39:W39"/>
    <mergeCell ref="V24:W24"/>
    <mergeCell ref="Z26:AA26"/>
    <mergeCell ref="Q41:R41"/>
    <mergeCell ref="X63:Y63"/>
    <mergeCell ref="V29:W29"/>
    <mergeCell ref="V47:W47"/>
    <mergeCell ref="AD39:AE39"/>
    <mergeCell ref="V38:W38"/>
    <mergeCell ref="V35:W35"/>
    <mergeCell ref="V32:Z32"/>
    <mergeCell ref="V41:Z41"/>
    <mergeCell ref="Q32:R32"/>
    <mergeCell ref="Q29:R29"/>
    <mergeCell ref="Q38:R38"/>
    <mergeCell ref="V27:W27"/>
    <mergeCell ref="V28:W28"/>
    <mergeCell ref="AD29:AE29"/>
    <mergeCell ref="AE74:AG74"/>
    <mergeCell ref="V26:W26"/>
    <mergeCell ref="E78:F78"/>
    <mergeCell ref="I78:J78"/>
    <mergeCell ref="AD48:AE48"/>
    <mergeCell ref="AD47:AE47"/>
    <mergeCell ref="Q43:R43"/>
    <mergeCell ref="V43:W43"/>
    <mergeCell ref="K18:R18"/>
    <mergeCell ref="K19:R19"/>
    <mergeCell ref="V74:W74"/>
    <mergeCell ref="M26:N26"/>
    <mergeCell ref="AD26:AE26"/>
    <mergeCell ref="AD27:AE27"/>
    <mergeCell ref="AD28:AE28"/>
    <mergeCell ref="S63:T63"/>
    <mergeCell ref="D70:G70"/>
    <mergeCell ref="AD37:AE37"/>
    <mergeCell ref="V37:W37"/>
    <mergeCell ref="D29:J29"/>
    <mergeCell ref="D33:J33"/>
    <mergeCell ref="D34:J34"/>
    <mergeCell ref="D35:J35"/>
    <mergeCell ref="D38:J38"/>
    <mergeCell ref="AL2:AL3"/>
    <mergeCell ref="AN2:AN3"/>
    <mergeCell ref="I79:J79"/>
    <mergeCell ref="U78:W78"/>
    <mergeCell ref="Z78:AA78"/>
    <mergeCell ref="AD78:AF78"/>
    <mergeCell ref="N79:O79"/>
    <mergeCell ref="Q79:R79"/>
    <mergeCell ref="V79:W79"/>
    <mergeCell ref="AF79:AG79"/>
    <mergeCell ref="Y52:Z52"/>
    <mergeCell ref="R74:S74"/>
    <mergeCell ref="I74:J74"/>
    <mergeCell ref="N74:O74"/>
    <mergeCell ref="Z74:AA74"/>
    <mergeCell ref="AC59:AE59"/>
    <mergeCell ref="O11:P11"/>
    <mergeCell ref="X18:AF18"/>
    <mergeCell ref="V34:W34"/>
    <mergeCell ref="Q35:R35"/>
    <mergeCell ref="Q39:R39"/>
    <mergeCell ref="AD66:AG66"/>
    <mergeCell ref="AE52:AF52"/>
    <mergeCell ref="AC56:AE56"/>
  </mergeCells>
  <phoneticPr fontId="10" type="noConversion"/>
  <conditionalFormatting sqref="L27">
    <cfRule type="expression" dxfId="226" priority="574" stopIfTrue="1">
      <formula>D27="keine Rast"</formula>
    </cfRule>
  </conditionalFormatting>
  <conditionalFormatting sqref="U27">
    <cfRule type="expression" dxfId="225" priority="572" stopIfTrue="1">
      <formula>D27="keine Rast"</formula>
    </cfRule>
  </conditionalFormatting>
  <conditionalFormatting sqref="Z27">
    <cfRule type="expression" dxfId="224" priority="571" stopIfTrue="1">
      <formula>D27="keine Rast"</formula>
    </cfRule>
  </conditionalFormatting>
  <conditionalFormatting sqref="O27">
    <cfRule type="expression" dxfId="223" priority="570" stopIfTrue="1">
      <formula>D27="keine Rast"</formula>
    </cfRule>
  </conditionalFormatting>
  <conditionalFormatting sqref="S27">
    <cfRule type="expression" dxfId="222" priority="569" stopIfTrue="1">
      <formula>D27="keine Rast"</formula>
    </cfRule>
  </conditionalFormatting>
  <conditionalFormatting sqref="X27">
    <cfRule type="expression" dxfId="221" priority="568" stopIfTrue="1">
      <formula>D27="keine Rast"</formula>
    </cfRule>
  </conditionalFormatting>
  <conditionalFormatting sqref="L38:AB38">
    <cfRule type="expression" dxfId="220" priority="566" stopIfTrue="1">
      <formula>$D38="-"</formula>
    </cfRule>
  </conditionalFormatting>
  <conditionalFormatting sqref="Q27:R27">
    <cfRule type="expression" dxfId="219" priority="565" stopIfTrue="1">
      <formula>$D27="keine rast"</formula>
    </cfRule>
  </conditionalFormatting>
  <conditionalFormatting sqref="AA27:AB27">
    <cfRule type="expression" dxfId="218" priority="563" stopIfTrue="1">
      <formula>$D27="keine rast"</formula>
    </cfRule>
  </conditionalFormatting>
  <conditionalFormatting sqref="AC28">
    <cfRule type="expression" dxfId="217" priority="537" stopIfTrue="1">
      <formula>D28="keine Rast"</formula>
    </cfRule>
  </conditionalFormatting>
  <conditionalFormatting sqref="V27:W27">
    <cfRule type="expression" dxfId="216" priority="497" stopIfTrue="1">
      <formula>$D27="keine rast"</formula>
    </cfRule>
  </conditionalFormatting>
  <conditionalFormatting sqref="L28:AB28">
    <cfRule type="expression" dxfId="215" priority="496" stopIfTrue="1">
      <formula>$D28="-"</formula>
    </cfRule>
  </conditionalFormatting>
  <conditionalFormatting sqref="L35:AG35">
    <cfRule type="expression" dxfId="214" priority="431" stopIfTrue="1">
      <formula>$D35="-"</formula>
    </cfRule>
  </conditionalFormatting>
  <conditionalFormatting sqref="D28:J28">
    <cfRule type="cellIs" dxfId="213" priority="315" stopIfTrue="1" operator="equal">
      <formula>"-"</formula>
    </cfRule>
  </conditionalFormatting>
  <conditionalFormatting sqref="AE52">
    <cfRule type="expression" dxfId="212" priority="283" stopIfTrue="1">
      <formula>#REF!="keine rast"</formula>
    </cfRule>
  </conditionalFormatting>
  <conditionalFormatting sqref="AE52">
    <cfRule type="expression" dxfId="211" priority="285" stopIfTrue="1">
      <formula>$D52="keine rast"</formula>
    </cfRule>
  </conditionalFormatting>
  <conditionalFormatting sqref="D71:G71">
    <cfRule type="cellIs" dxfId="210" priority="267" stopIfTrue="1" operator="equal">
      <formula>"keine 2. Gabe"</formula>
    </cfRule>
  </conditionalFormatting>
  <conditionalFormatting sqref="D72:G72">
    <cfRule type="cellIs" dxfId="209" priority="266" stopIfTrue="1" operator="equal">
      <formula>"keine 3. Gabe"</formula>
    </cfRule>
  </conditionalFormatting>
  <conditionalFormatting sqref="L37:X37">
    <cfRule type="expression" dxfId="208" priority="264" stopIfTrue="1">
      <formula>$D38="keine rast"</formula>
    </cfRule>
  </conditionalFormatting>
  <conditionalFormatting sqref="H72">
    <cfRule type="expression" dxfId="207" priority="782" stopIfTrue="1">
      <formula>#REF!="keine 3. Gabe"</formula>
    </cfRule>
  </conditionalFormatting>
  <conditionalFormatting sqref="H71">
    <cfRule type="expression" dxfId="206" priority="783" stopIfTrue="1">
      <formula>#REF!="keine 2. Gabe"</formula>
    </cfRule>
  </conditionalFormatting>
  <conditionalFormatting sqref="L33:AG33">
    <cfRule type="expression" dxfId="205" priority="243" stopIfTrue="1">
      <formula>$D33="-"</formula>
    </cfRule>
  </conditionalFormatting>
  <conditionalFormatting sqref="L34:AG34">
    <cfRule type="expression" dxfId="204" priority="242" stopIfTrue="1">
      <formula>$D34="-"</formula>
    </cfRule>
  </conditionalFormatting>
  <conditionalFormatting sqref="R74:S74">
    <cfRule type="expression" dxfId="203" priority="239" stopIfTrue="1">
      <formula>$D74="keine rast"</formula>
    </cfRule>
  </conditionalFormatting>
  <conditionalFormatting sqref="R74:S74">
    <cfRule type="expression" dxfId="202" priority="238" stopIfTrue="1">
      <formula>$D72="keine rast"</formula>
    </cfRule>
  </conditionalFormatting>
  <conditionalFormatting sqref="R74:S74">
    <cfRule type="expression" dxfId="201" priority="237" stopIfTrue="1">
      <formula>$D72="keine rast"</formula>
    </cfRule>
  </conditionalFormatting>
  <conditionalFormatting sqref="AC29">
    <cfRule type="expression" dxfId="200" priority="185" stopIfTrue="1">
      <formula>D29="keine Rast"</formula>
    </cfRule>
  </conditionalFormatting>
  <conditionalFormatting sqref="L29:AB29">
    <cfRule type="expression" dxfId="199" priority="184" stopIfTrue="1">
      <formula>$D29="-"</formula>
    </cfRule>
  </conditionalFormatting>
  <conditionalFormatting sqref="V41">
    <cfRule type="expression" dxfId="198" priority="165" stopIfTrue="1">
      <formula>B41="keine Rast"</formula>
    </cfRule>
  </conditionalFormatting>
  <conditionalFormatting sqref="AA41">
    <cfRule type="expression" dxfId="197" priority="164" stopIfTrue="1">
      <formula>G41="keine Rast"</formula>
    </cfRule>
  </conditionalFormatting>
  <conditionalFormatting sqref="AB47">
    <cfRule type="expression" dxfId="196" priority="147" stopIfTrue="1">
      <formula>F47="keine Rast"</formula>
    </cfRule>
  </conditionalFormatting>
  <conditionalFormatting sqref="L44:AG44">
    <cfRule type="expression" dxfId="195" priority="146">
      <formula>$D44="-"</formula>
    </cfRule>
  </conditionalFormatting>
  <conditionalFormatting sqref="AC28">
    <cfRule type="expression" dxfId="194" priority="143" stopIfTrue="1">
      <formula>D28="keine Rast"</formula>
    </cfRule>
  </conditionalFormatting>
  <conditionalFormatting sqref="AC29">
    <cfRule type="expression" dxfId="193" priority="141" stopIfTrue="1">
      <formula>D29="keine Rast"</formula>
    </cfRule>
  </conditionalFormatting>
  <conditionalFormatting sqref="AD26:AG26">
    <cfRule type="expression" dxfId="192" priority="130" stopIfTrue="1">
      <formula>$D27="-"</formula>
    </cfRule>
  </conditionalFormatting>
  <conditionalFormatting sqref="AG29">
    <cfRule type="expression" dxfId="191" priority="129" stopIfTrue="1">
      <formula>G29="keine Rast"</formula>
    </cfRule>
  </conditionalFormatting>
  <conditionalFormatting sqref="AF29">
    <cfRule type="expression" dxfId="190" priority="128" stopIfTrue="1">
      <formula>F29="keine Rast"</formula>
    </cfRule>
  </conditionalFormatting>
  <conditionalFormatting sqref="V24:X24">
    <cfRule type="expression" dxfId="189" priority="127" stopIfTrue="1">
      <formula>$D26="keine rast"</formula>
    </cfRule>
  </conditionalFormatting>
  <conditionalFormatting sqref="AG26">
    <cfRule type="cellIs" dxfId="188" priority="126" operator="between">
      <formula>99</formula>
      <formula>500</formula>
    </cfRule>
  </conditionalFormatting>
  <conditionalFormatting sqref="AG27">
    <cfRule type="cellIs" dxfId="187" priority="125" operator="between">
      <formula>99</formula>
      <formula>500</formula>
    </cfRule>
  </conditionalFormatting>
  <conditionalFormatting sqref="AG28">
    <cfRule type="cellIs" dxfId="186" priority="124" operator="between">
      <formula>99</formula>
      <formula>500</formula>
    </cfRule>
  </conditionalFormatting>
  <conditionalFormatting sqref="AD27:AG27">
    <cfRule type="expression" dxfId="185" priority="92">
      <formula>$D28="-"</formula>
    </cfRule>
  </conditionalFormatting>
  <conditionalFormatting sqref="AH27">
    <cfRule type="expression" dxfId="184" priority="91">
      <formula>$D28="-"</formula>
    </cfRule>
  </conditionalFormatting>
  <conditionalFormatting sqref="AD28:AG28">
    <cfRule type="expression" dxfId="183" priority="90">
      <formula>$D29="-"</formula>
    </cfRule>
  </conditionalFormatting>
  <conditionalFormatting sqref="AH28">
    <cfRule type="expression" dxfId="182" priority="89">
      <formula>$D29="-"</formula>
    </cfRule>
  </conditionalFormatting>
  <conditionalFormatting sqref="AD38:AG38">
    <cfRule type="expression" dxfId="181" priority="88">
      <formula>$D39="-"</formula>
    </cfRule>
  </conditionalFormatting>
  <conditionalFormatting sqref="AH38">
    <cfRule type="expression" dxfId="180" priority="87">
      <formula>$D39="-"</formula>
    </cfRule>
  </conditionalFormatting>
  <conditionalFormatting sqref="AD37:AG37">
    <cfRule type="expression" dxfId="179" priority="86">
      <formula>$D38="-"</formula>
    </cfRule>
  </conditionalFormatting>
  <conditionalFormatting sqref="AH37">
    <cfRule type="expression" dxfId="178" priority="85">
      <formula>$D38="-"</formula>
    </cfRule>
  </conditionalFormatting>
  <conditionalFormatting sqref="AD47:AG47">
    <cfRule type="expression" dxfId="177" priority="84">
      <formula>$D48="-"</formula>
    </cfRule>
  </conditionalFormatting>
  <conditionalFormatting sqref="AH47">
    <cfRule type="expression" dxfId="176" priority="83">
      <formula>$D48="-"</formula>
    </cfRule>
  </conditionalFormatting>
  <conditionalFormatting sqref="V79">
    <cfRule type="expression" priority="787" stopIfTrue="1">
      <formula>ROUND(#REF!,0)</formula>
    </cfRule>
  </conditionalFormatting>
  <conditionalFormatting sqref="D29:J29">
    <cfRule type="cellIs" dxfId="175" priority="80" operator="equal">
      <formula>"-"</formula>
    </cfRule>
  </conditionalFormatting>
  <conditionalFormatting sqref="D33:J33">
    <cfRule type="cellIs" dxfId="174" priority="79" operator="equal">
      <formula>"-"</formula>
    </cfRule>
  </conditionalFormatting>
  <conditionalFormatting sqref="D34:J34">
    <cfRule type="cellIs" dxfId="173" priority="78" operator="equal">
      <formula>"-"</formula>
    </cfRule>
  </conditionalFormatting>
  <conditionalFormatting sqref="D35:J35">
    <cfRule type="cellIs" dxfId="172" priority="77" operator="equal">
      <formula>"-"</formula>
    </cfRule>
  </conditionalFormatting>
  <conditionalFormatting sqref="D38:J38">
    <cfRule type="cellIs" dxfId="171" priority="76" operator="equal">
      <formula>"-"</formula>
    </cfRule>
  </conditionalFormatting>
  <conditionalFormatting sqref="D39:J39">
    <cfRule type="cellIs" dxfId="170" priority="75" operator="equal">
      <formula>"-"</formula>
    </cfRule>
  </conditionalFormatting>
  <conditionalFormatting sqref="L39:AB39">
    <cfRule type="expression" dxfId="169" priority="74">
      <formula>$D39="-"</formula>
    </cfRule>
  </conditionalFormatting>
  <conditionalFormatting sqref="D43:J43">
    <cfRule type="cellIs" dxfId="168" priority="73" operator="equal">
      <formula>"-"</formula>
    </cfRule>
  </conditionalFormatting>
  <conditionalFormatting sqref="K43:AG43">
    <cfRule type="expression" dxfId="167" priority="72">
      <formula>$D43="-"</formula>
    </cfRule>
  </conditionalFormatting>
  <conditionalFormatting sqref="D44:J44">
    <cfRule type="cellIs" dxfId="166" priority="71" operator="equal">
      <formula>"-"</formula>
    </cfRule>
  </conditionalFormatting>
  <conditionalFormatting sqref="D45:J45">
    <cfRule type="cellIs" dxfId="165" priority="70" operator="equal">
      <formula>"-"</formula>
    </cfRule>
  </conditionalFormatting>
  <conditionalFormatting sqref="L45:AG45">
    <cfRule type="expression" dxfId="164" priority="68">
      <formula>D$45="-"</formula>
    </cfRule>
  </conditionalFormatting>
  <conditionalFormatting sqref="D48:J48">
    <cfRule type="cellIs" dxfId="163" priority="67" operator="equal">
      <formula>"-"</formula>
    </cfRule>
  </conditionalFormatting>
  <conditionalFormatting sqref="L48:AB48">
    <cfRule type="expression" dxfId="162" priority="66">
      <formula>$D48="-"</formula>
    </cfRule>
  </conditionalFormatting>
  <conditionalFormatting sqref="AH26">
    <cfRule type="expression" dxfId="161" priority="65">
      <formula>D27="-"</formula>
    </cfRule>
  </conditionalFormatting>
  <conditionalFormatting sqref="L26:X26">
    <cfRule type="expression" dxfId="160" priority="872" stopIfTrue="1">
      <formula>$D27="keine rast"</formula>
    </cfRule>
  </conditionalFormatting>
  <conditionalFormatting sqref="AE14:AH15">
    <cfRule type="expression" dxfId="159" priority="879" stopIfTrue="1">
      <formula>$W$14="nein"</formula>
    </cfRule>
  </conditionalFormatting>
  <conditionalFormatting sqref="D27 D28 D29 D33:J35 D38:J39 D43:J45 D48">
    <cfRule type="beginsWith" dxfId="158" priority="60" operator="beginsWith" text="Rast">
      <formula>LEFT(D27,LEN("Rast"))="Rast"</formula>
    </cfRule>
  </conditionalFormatting>
  <conditionalFormatting sqref="C6 P6 W6 O9 O11:P12 O14 V24 V26 Z26 Q26 M26:N29 AD26:AE28 AG26:AG28 AP26:AP29 M32:N35 M37:N39 M41 M43:N45 M47:N48 Q37 Q47 V37 V47 AD37:AE38 AG37:AG38 AP37:AP39 AP47:AP48 AG47 AD47 E52 I52 U52 AE52 J59:K60 O59:P60 S59 S63 AC59 AC63 I67 N67 S67 I74 V74 Z74 E78 I78 N79 Q79 U78 V79 Z78 AD78 AF79 AP18:AP20">
    <cfRule type="notContainsBlanks" dxfId="157" priority="59">
      <formula>LEN(TRIM(C6))&gt;0</formula>
    </cfRule>
  </conditionalFormatting>
  <conditionalFormatting sqref="K9 Q27:R29 V27:W29 AA27:AA29 AD29 Q32:R35 V33:W35 AB32 AA33:AA35 Q38:R39 V38:W39 AA38:AA39 AD39 Q41 AB41 Q43:R45 V43:W45 AA43:AA45 Q48 V48 AA48 AD48 Y52 AC56 X59 AC60 X63 N74 R74 AE74 I79 I70:J72">
    <cfRule type="cellIs" dxfId="156" priority="58" operator="greaterThan">
      <formula>0</formula>
    </cfRule>
  </conditionalFormatting>
  <conditionalFormatting sqref="J24:Q24">
    <cfRule type="containsText" dxfId="155" priority="56" operator="containsText" text="Maischverfahren wählen">
      <formula>NOT(ISERROR(SEARCH("Maischverfahren wählen",J24)))</formula>
    </cfRule>
  </conditionalFormatting>
  <conditionalFormatting sqref="I18:S18">
    <cfRule type="expression" dxfId="154" priority="51">
      <formula>$K$18=""</formula>
    </cfRule>
  </conditionalFormatting>
  <conditionalFormatting sqref="I19:S19">
    <cfRule type="expression" dxfId="153" priority="50">
      <formula>$K$19=""</formula>
    </cfRule>
  </conditionalFormatting>
  <conditionalFormatting sqref="I20:S20">
    <cfRule type="expression" dxfId="152" priority="49">
      <formula>$K$20=""</formula>
    </cfRule>
  </conditionalFormatting>
  <conditionalFormatting sqref="U18:AG18">
    <cfRule type="expression" dxfId="151" priority="48">
      <formula>$X$18=""</formula>
    </cfRule>
  </conditionalFormatting>
  <conditionalFormatting sqref="U19:AG19">
    <cfRule type="expression" dxfId="150" priority="47">
      <formula>$X$19=""</formula>
    </cfRule>
  </conditionalFormatting>
  <conditionalFormatting sqref="U20:AG20">
    <cfRule type="expression" dxfId="149" priority="46">
      <formula>$X$20=""</formula>
    </cfRule>
  </conditionalFormatting>
  <conditionalFormatting sqref="S9">
    <cfRule type="cellIs" dxfId="148" priority="45" operator="equal">
      <formula>0</formula>
    </cfRule>
  </conditionalFormatting>
  <conditionalFormatting sqref="V32:Z32">
    <cfRule type="beginsWith" dxfId="147" priority="44" operator="beginsWith" text="wählen">
      <formula>LEFT(V32,LEN("wählen"))="wählen"</formula>
    </cfRule>
  </conditionalFormatting>
  <conditionalFormatting sqref="V41:Z41">
    <cfRule type="beginsWith" dxfId="146" priority="43" operator="beginsWith" text="wählen">
      <formula>LEFT(V41,LEN("wählen"))="wählen"</formula>
    </cfRule>
  </conditionalFormatting>
  <conditionalFormatting sqref="AB6:AH6">
    <cfRule type="containsText" dxfId="145" priority="42" operator="containsText" text="Bitte wählen!">
      <formula>NOT(ISERROR(SEARCH("Bitte wählen!",AB6)))</formula>
    </cfRule>
  </conditionalFormatting>
  <conditionalFormatting sqref="X67:Y67">
    <cfRule type="containsBlanks" dxfId="144" priority="880">
      <formula>LEN(TRIM(X67))=0</formula>
    </cfRule>
  </conditionalFormatting>
  <conditionalFormatting sqref="R68:S68">
    <cfRule type="expression" dxfId="143" priority="29" stopIfTrue="1">
      <formula>$D68="keine rast"</formula>
    </cfRule>
  </conditionalFormatting>
  <conditionalFormatting sqref="R68:S68">
    <cfRule type="expression" dxfId="142" priority="28" stopIfTrue="1">
      <formula>$D66="keine rast"</formula>
    </cfRule>
  </conditionalFormatting>
  <conditionalFormatting sqref="R68:S68">
    <cfRule type="expression" dxfId="141" priority="27" stopIfTrue="1">
      <formula>$D66="keine rast"</formula>
    </cfRule>
  </conditionalFormatting>
  <conditionalFormatting sqref="I68 V68 Z68">
    <cfRule type="notContainsBlanks" dxfId="140" priority="26">
      <formula>LEN(TRIM(I68))&gt;0</formula>
    </cfRule>
  </conditionalFormatting>
  <conditionalFormatting sqref="N68 R68 AE68">
    <cfRule type="cellIs" dxfId="139" priority="25" operator="greaterThan">
      <formula>0</formula>
    </cfRule>
  </conditionalFormatting>
  <conditionalFormatting sqref="M69:N69">
    <cfRule type="cellIs" dxfId="138" priority="23" operator="greaterThan">
      <formula>0</formula>
    </cfRule>
  </conditionalFormatting>
  <conditionalFormatting sqref="S69">
    <cfRule type="expression" dxfId="137" priority="22">
      <formula>$D$72="keine 3. Gabe"</formula>
    </cfRule>
  </conditionalFormatting>
  <conditionalFormatting sqref="M70:N70">
    <cfRule type="cellIs" dxfId="136" priority="18" operator="greaterThan">
      <formula>0</formula>
    </cfRule>
  </conditionalFormatting>
  <conditionalFormatting sqref="S70">
    <cfRule type="expression" dxfId="135" priority="17">
      <formula>$D$72="keine 3. Gabe"</formula>
    </cfRule>
  </conditionalFormatting>
  <conditionalFormatting sqref="M71:N71">
    <cfRule type="cellIs" dxfId="134" priority="16" operator="greaterThan">
      <formula>0</formula>
    </cfRule>
  </conditionalFormatting>
  <conditionalFormatting sqref="S71">
    <cfRule type="expression" dxfId="133" priority="15">
      <formula>$D$72="keine 3. Gabe"</formula>
    </cfRule>
  </conditionalFormatting>
  <conditionalFormatting sqref="M72:N72">
    <cfRule type="cellIs" dxfId="132" priority="14" operator="greaterThan">
      <formula>0</formula>
    </cfRule>
  </conditionalFormatting>
  <conditionalFormatting sqref="S72">
    <cfRule type="expression" dxfId="131" priority="13">
      <formula>$D$72="keine 3. Gabe"</formula>
    </cfRule>
  </conditionalFormatting>
  <conditionalFormatting sqref="M73:N73">
    <cfRule type="cellIs" dxfId="130" priority="12" operator="greaterThan">
      <formula>0</formula>
    </cfRule>
  </conditionalFormatting>
  <conditionalFormatting sqref="S73">
    <cfRule type="expression" dxfId="129" priority="11">
      <formula>$D$72="keine 3. Gabe"</formula>
    </cfRule>
  </conditionalFormatting>
  <conditionalFormatting sqref="I69:J69">
    <cfRule type="cellIs" dxfId="128" priority="10" operator="greaterThan">
      <formula>0</formula>
    </cfRule>
  </conditionalFormatting>
  <conditionalFormatting sqref="I73:J73">
    <cfRule type="cellIs" dxfId="127" priority="7" operator="greaterThan">
      <formula>0</formula>
    </cfRule>
  </conditionalFormatting>
  <conditionalFormatting sqref="I70:AH70">
    <cfRule type="expression" dxfId="126" priority="4">
      <formula>$D$70="keine 2. Gabe"</formula>
    </cfRule>
  </conditionalFormatting>
  <conditionalFormatting sqref="I71:AH71">
    <cfRule type="expression" dxfId="125" priority="1">
      <formula>$D$71="keine 3. Gabe"</formula>
    </cfRule>
  </conditionalFormatting>
  <conditionalFormatting sqref="I72:AH72">
    <cfRule type="expression" dxfId="124" priority="3">
      <formula>$D$72="keine 4. Gabe"</formula>
    </cfRule>
  </conditionalFormatting>
  <conditionalFormatting sqref="I73:AH73">
    <cfRule type="expression" dxfId="123" priority="2">
      <formula>$D$73="keine 5. Gabe"</formula>
    </cfRule>
  </conditionalFormatting>
  <conditionalFormatting sqref="P69:Q73 S69:Z73 AB69:AH73">
    <cfRule type="containsText" dxfId="122" priority="5" operator="containsText" text="wählen">
      <formula>NOT(ISERROR(SEARCH("wählen",P69)))</formula>
    </cfRule>
  </conditionalFormatting>
  <dataValidations count="1">
    <dataValidation type="list" allowBlank="1" showInputMessage="1" showErrorMessage="1" sqref="AG18:AG20 S18:S20" xr:uid="{00000000-0002-0000-0700-000000000000}">
      <formula1>"X"</formula1>
    </dataValidation>
  </dataValidations>
  <hyperlinks>
    <hyperlink ref="AL2" location="'3_rezeptkarte'!F6" tooltip="zurück zur Rezeptkarte" display="ï" xr:uid="{00000000-0004-0000-0700-000000000000}"/>
    <hyperlink ref="AM2" location="start!A1" tooltip="zur Startseite" display="ñ" xr:uid="{00000000-0004-0000-0700-000001000000}"/>
    <hyperlink ref="AN2" location="'4a_sud-journal (handout)'!Q27" tooltip="Weiter zum Sud-Journal (HandOut)" display="ð" xr:uid="{00000000-0004-0000-0700-000002000000}"/>
  </hyperlinks>
  <printOptions horizontalCentered="1"/>
  <pageMargins left="0.70866141732283472" right="0.70866141732283472" top="0.39370078740157483" bottom="0.39370078740157483" header="0.51181102362204722" footer="0.31496062992125984"/>
  <pageSetup paperSize="9" orientation="portrait" r:id="rId1"/>
  <headerFooter alignWithMargins="0">
    <oddFooter>&amp;L&amp;"Arial,Fett"Seite &amp;P von &amp;N&amp;R&amp;"Arial,Fett"www.bierbrauerei.net</oddFooter>
  </headerFooter>
  <ignoredErrors>
    <ignoredError sqref="X5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92" r:id="rId4" name="Check Box 20">
              <controlPr defaultSize="0" autoFill="0" autoLine="0" autoPict="0">
                <anchor moveWithCells="1">
                  <from>
                    <xdr:col>12</xdr:col>
                    <xdr:colOff>22860</xdr:colOff>
                    <xdr:row>50</xdr:row>
                    <xdr:rowOff>106680</xdr:rowOff>
                  </from>
                  <to>
                    <xdr:col>16</xdr:col>
                    <xdr:colOff>198120</xdr:colOff>
                    <xdr:row>52</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D4BF2-846B-4188-8DF2-DCE86EAE8F3D}">
  <dimension ref="A1:AU183"/>
  <sheetViews>
    <sheetView showGridLines="0" showRowColHeaders="0" showRuler="0" zoomScale="120" zoomScaleNormal="120" zoomScaleSheetLayoutView="120" zoomScalePageLayoutView="130" workbookViewId="0">
      <pane ySplit="4" topLeftCell="A5" activePane="bottomLeft" state="frozen"/>
      <selection pane="bottomLeft" activeCell="AN2" sqref="AN2:AN3"/>
    </sheetView>
  </sheetViews>
  <sheetFormatPr baseColWidth="10" defaultColWidth="2.88671875" defaultRowHeight="15" customHeight="1" outlineLevelRow="1"/>
  <cols>
    <col min="1" max="1" width="1.109375" style="2" customWidth="1"/>
    <col min="2" max="3" width="0.44140625" style="2" customWidth="1"/>
    <col min="4" max="4" width="3.33203125" style="2" customWidth="1"/>
    <col min="5" max="7" width="2.88671875" style="2" customWidth="1"/>
    <col min="8" max="8" width="1.5546875" style="2" customWidth="1"/>
    <col min="9" max="9" width="3.6640625" style="2" customWidth="1"/>
    <col min="10" max="15" width="2.88671875" style="2" customWidth="1"/>
    <col min="16" max="16" width="3.6640625" style="2" customWidth="1"/>
    <col min="17" max="17" width="3.33203125" style="2" customWidth="1"/>
    <col min="18" max="19" width="2.88671875" style="2" customWidth="1"/>
    <col min="20" max="20" width="2" style="2" customWidth="1"/>
    <col min="21" max="27" width="2.88671875" style="2" customWidth="1"/>
    <col min="28" max="28" width="3.88671875" style="2" customWidth="1"/>
    <col min="29" max="29" width="0.6640625" style="2" customWidth="1"/>
    <col min="30" max="31" width="2.88671875" style="2" customWidth="1"/>
    <col min="32" max="32" width="1.6640625" style="2" customWidth="1"/>
    <col min="33" max="33" width="2.88671875" style="2" customWidth="1"/>
    <col min="34" max="34" width="2.5546875" style="2" customWidth="1"/>
    <col min="35" max="36" width="0.44140625" style="2" customWidth="1"/>
    <col min="37" max="37" width="2.33203125" style="2" customWidth="1"/>
    <col min="38" max="40" width="3.109375" style="2" customWidth="1"/>
    <col min="41" max="41" width="21.6640625" style="2" customWidth="1"/>
    <col min="42" max="42" width="5.5546875" style="2" customWidth="1"/>
    <col min="43" max="43" width="7.44140625" style="2" customWidth="1"/>
    <col min="44" max="44" width="2.88671875" style="2" customWidth="1"/>
    <col min="45" max="45" width="2.88671875" style="2"/>
    <col min="46" max="46" width="5.21875" style="2" hidden="1" customWidth="1"/>
    <col min="47" max="47" width="3.6640625" style="2" hidden="1" customWidth="1"/>
    <col min="48" max="16384" width="2.88671875" style="2"/>
  </cols>
  <sheetData>
    <row r="1" spans="1:47" ht="6" customHeight="1" thickBot="1"/>
    <row r="2" spans="1:47" ht="15" customHeight="1">
      <c r="B2" s="47"/>
      <c r="C2" s="48"/>
      <c r="D2" s="48"/>
      <c r="E2" s="48"/>
      <c r="F2" s="200"/>
      <c r="G2" s="200"/>
      <c r="H2" s="48"/>
      <c r="I2" s="48"/>
      <c r="J2" s="49"/>
      <c r="K2" s="1024" t="s">
        <v>31</v>
      </c>
      <c r="L2" s="1025"/>
      <c r="M2" s="1025"/>
      <c r="N2" s="1025"/>
      <c r="O2" s="1025"/>
      <c r="P2" s="1025"/>
      <c r="Q2" s="1025"/>
      <c r="R2" s="1025"/>
      <c r="S2" s="1025"/>
      <c r="T2" s="1025"/>
      <c r="U2" s="1025"/>
      <c r="V2" s="1025"/>
      <c r="W2" s="1025"/>
      <c r="X2" s="1025"/>
      <c r="Y2" s="1025"/>
      <c r="Z2" s="1026"/>
      <c r="AA2" s="5"/>
      <c r="AB2" s="5"/>
      <c r="AC2" s="832"/>
      <c r="AD2" s="832" t="s">
        <v>15</v>
      </c>
      <c r="AE2" s="1022">
        <f>rechenfibel!AD2</f>
        <v>43590</v>
      </c>
      <c r="AF2" s="1022"/>
      <c r="AG2" s="1022"/>
      <c r="AH2" s="1022"/>
      <c r="AI2" s="1023"/>
      <c r="AL2" s="877" t="s">
        <v>246</v>
      </c>
      <c r="AM2" s="439" t="s">
        <v>832</v>
      </c>
      <c r="AN2" s="879" t="s">
        <v>242</v>
      </c>
    </row>
    <row r="3" spans="1:47" ht="15" customHeight="1" thickBot="1">
      <c r="B3" s="50"/>
      <c r="C3" s="54"/>
      <c r="D3" s="54"/>
      <c r="E3" s="54"/>
      <c r="F3" s="216"/>
      <c r="G3" s="55"/>
      <c r="H3" s="55"/>
      <c r="I3" s="54"/>
      <c r="J3" s="1"/>
      <c r="K3" s="1027"/>
      <c r="L3" s="1028"/>
      <c r="M3" s="1028"/>
      <c r="N3" s="1028"/>
      <c r="O3" s="1028"/>
      <c r="P3" s="1028"/>
      <c r="Q3" s="1028"/>
      <c r="R3" s="1028"/>
      <c r="S3" s="1028"/>
      <c r="T3" s="1028"/>
      <c r="U3" s="1028"/>
      <c r="V3" s="1028"/>
      <c r="W3" s="1028"/>
      <c r="X3" s="1028"/>
      <c r="Y3" s="1028"/>
      <c r="Z3" s="1029"/>
      <c r="AC3" s="3"/>
      <c r="AD3" s="3" t="s">
        <v>22</v>
      </c>
      <c r="AE3" s="881">
        <f>rechenfibel!AD3</f>
        <v>43556</v>
      </c>
      <c r="AF3" s="881"/>
      <c r="AG3" s="881"/>
      <c r="AH3" s="881"/>
      <c r="AI3" s="882"/>
      <c r="AL3" s="878"/>
      <c r="AM3" s="441"/>
      <c r="AN3" s="880"/>
    </row>
    <row r="4" spans="1:47" ht="3.75" customHeight="1" thickBot="1">
      <c r="B4" s="43"/>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row>
    <row r="5" spans="1:47" s="9" customFormat="1" ht="2.25" customHeight="1">
      <c r="B5" s="7"/>
      <c r="AI5" s="8"/>
    </row>
    <row r="6" spans="1:47" ht="13.95" customHeight="1">
      <c r="B6" s="10"/>
      <c r="C6" s="1035" t="str">
        <f>IF(ISBLANK('3_rezeptkarte'!C6),"",'3_rezeptkarte'!C6)</f>
        <v/>
      </c>
      <c r="D6" s="1035"/>
      <c r="E6" s="1035"/>
      <c r="F6" s="1035"/>
      <c r="G6" s="1035"/>
      <c r="H6" s="1035"/>
      <c r="I6" s="1035"/>
      <c r="J6" s="1035"/>
      <c r="K6" s="1035"/>
      <c r="L6" s="1035"/>
      <c r="M6" s="141"/>
      <c r="N6" s="141"/>
      <c r="O6" s="3" t="s">
        <v>70</v>
      </c>
      <c r="P6" s="1030" t="str">
        <f>IF(ISBLANK('1_vorbereitung'!F6),"",'1_vorbereitung'!F6)</f>
        <v/>
      </c>
      <c r="Q6" s="1030"/>
      <c r="R6" s="1030"/>
      <c r="S6" s="1030"/>
      <c r="V6" s="3" t="s">
        <v>0</v>
      </c>
      <c r="W6" s="989" t="str">
        <f>IF(ISBLANK('1_vorbereitung'!M6),"",'1_vorbereitung'!M6)</f>
        <v/>
      </c>
      <c r="X6" s="989"/>
      <c r="Y6" s="989"/>
      <c r="AA6" s="3" t="s">
        <v>55</v>
      </c>
      <c r="AB6" s="1002" t="str">
        <f>'3_rezeptkarte'!AB6</f>
        <v>Bitte wählen!</v>
      </c>
      <c r="AC6" s="1002"/>
      <c r="AD6" s="1002"/>
      <c r="AE6" s="1002"/>
      <c r="AF6" s="1002"/>
      <c r="AG6" s="1002"/>
      <c r="AH6" s="1002"/>
      <c r="AI6" s="11"/>
      <c r="AT6" s="254"/>
      <c r="AU6" s="256"/>
    </row>
    <row r="7" spans="1:47" s="9" customFormat="1" ht="2.25" customHeight="1">
      <c r="B7" s="7"/>
      <c r="AI7" s="8"/>
      <c r="AT7" s="257"/>
      <c r="AU7" s="259"/>
    </row>
    <row r="8" spans="1:47" s="9" customFormat="1" ht="2.25" customHeight="1">
      <c r="A8" s="9">
        <v>3</v>
      </c>
      <c r="B8" s="7"/>
      <c r="C8" s="660"/>
      <c r="D8" s="649"/>
      <c r="E8" s="649"/>
      <c r="F8" s="649"/>
      <c r="G8" s="649"/>
      <c r="H8" s="649"/>
      <c r="I8" s="649"/>
      <c r="J8" s="649"/>
      <c r="K8" s="649"/>
      <c r="L8" s="649"/>
      <c r="M8" s="649"/>
      <c r="N8" s="649"/>
      <c r="O8" s="649"/>
      <c r="P8" s="649"/>
      <c r="Q8" s="650"/>
      <c r="R8" s="28"/>
      <c r="S8" s="28"/>
      <c r="T8" s="28"/>
      <c r="U8" s="28"/>
      <c r="V8" s="28"/>
      <c r="W8" s="28"/>
      <c r="X8" s="28"/>
      <c r="Y8" s="28"/>
      <c r="Z8" s="28"/>
      <c r="AA8" s="28"/>
      <c r="AB8" s="28"/>
      <c r="AC8" s="28"/>
      <c r="AD8" s="28"/>
      <c r="AE8" s="28"/>
      <c r="AF8" s="28"/>
      <c r="AG8" s="28"/>
      <c r="AH8" s="28"/>
      <c r="AI8" s="8"/>
      <c r="AT8" s="257"/>
      <c r="AU8" s="259"/>
    </row>
    <row r="9" spans="1:47" s="9" customFormat="1" ht="12.75" customHeight="1">
      <c r="B9" s="7"/>
      <c r="C9" s="661"/>
      <c r="D9" s="527" t="s">
        <v>21</v>
      </c>
      <c r="E9" s="680" t="s">
        <v>272</v>
      </c>
      <c r="F9" s="653"/>
      <c r="G9" s="653"/>
      <c r="H9" s="653"/>
      <c r="I9" s="653"/>
      <c r="J9" s="653"/>
      <c r="K9" s="1044">
        <f>'3_rezeptkarte'!X13</f>
        <v>0</v>
      </c>
      <c r="L9" s="1044"/>
      <c r="M9" s="653" t="s">
        <v>5</v>
      </c>
      <c r="N9" s="681" t="s">
        <v>242</v>
      </c>
      <c r="O9" s="1040" t="str">
        <f>'3_rezeptkarte'!AB13</f>
        <v/>
      </c>
      <c r="P9" s="1040"/>
      <c r="Q9" s="657" t="s">
        <v>877</v>
      </c>
      <c r="R9" s="28"/>
      <c r="S9" s="1067">
        <f>'3_rezeptkarte'!U18</f>
        <v>0</v>
      </c>
      <c r="T9" s="1068"/>
      <c r="U9" s="1068"/>
      <c r="V9" s="1068"/>
      <c r="W9" s="1068"/>
      <c r="X9" s="1068"/>
      <c r="Y9" s="1068"/>
      <c r="Z9" s="1068"/>
      <c r="AA9" s="1068"/>
      <c r="AB9" s="1068"/>
      <c r="AC9" s="1068"/>
      <c r="AD9" s="1069"/>
      <c r="AE9" s="28"/>
      <c r="AF9" s="28"/>
      <c r="AG9" s="120"/>
      <c r="AH9" s="28"/>
      <c r="AI9" s="8"/>
      <c r="AL9" s="141"/>
      <c r="AT9" s="257"/>
      <c r="AU9" s="259"/>
    </row>
    <row r="10" spans="1:47" s="9" customFormat="1" ht="12.75" customHeight="1">
      <c r="B10" s="7"/>
      <c r="C10" s="661"/>
      <c r="D10" s="653"/>
      <c r="E10" s="680"/>
      <c r="F10" s="653"/>
      <c r="G10" s="653"/>
      <c r="H10" s="653"/>
      <c r="I10" s="653"/>
      <c r="J10" s="653"/>
      <c r="K10" s="653"/>
      <c r="L10" s="653"/>
      <c r="M10" s="653"/>
      <c r="N10" s="681"/>
      <c r="O10" s="653"/>
      <c r="P10" s="681"/>
      <c r="Q10" s="657"/>
      <c r="R10" s="28"/>
      <c r="S10" s="1070"/>
      <c r="T10" s="1071"/>
      <c r="U10" s="1071"/>
      <c r="V10" s="1071"/>
      <c r="W10" s="1071"/>
      <c r="X10" s="1071"/>
      <c r="Y10" s="1071"/>
      <c r="Z10" s="1071"/>
      <c r="AA10" s="1071"/>
      <c r="AB10" s="1071"/>
      <c r="AC10" s="1071"/>
      <c r="AD10" s="1072"/>
      <c r="AE10" s="28"/>
      <c r="AF10" s="28"/>
      <c r="AG10" s="120"/>
      <c r="AH10" s="28"/>
      <c r="AI10" s="8"/>
      <c r="AL10" s="141"/>
      <c r="AT10" s="257"/>
      <c r="AU10" s="259"/>
    </row>
    <row r="11" spans="1:47" s="9" customFormat="1" ht="12.75" customHeight="1">
      <c r="B11" s="7"/>
      <c r="C11" s="673"/>
      <c r="D11" s="530" t="s">
        <v>21</v>
      </c>
      <c r="E11" s="680" t="s">
        <v>273</v>
      </c>
      <c r="F11" s="653"/>
      <c r="G11" s="653"/>
      <c r="H11" s="653"/>
      <c r="I11" s="653"/>
      <c r="J11" s="653"/>
      <c r="K11" s="653"/>
      <c r="L11" s="653"/>
      <c r="M11" s="682"/>
      <c r="N11" s="682" t="s">
        <v>938</v>
      </c>
      <c r="O11" s="892"/>
      <c r="P11" s="892"/>
      <c r="Q11" s="657" t="s">
        <v>39</v>
      </c>
      <c r="R11" s="28"/>
      <c r="S11" s="1070"/>
      <c r="T11" s="1071"/>
      <c r="U11" s="1071"/>
      <c r="V11" s="1071"/>
      <c r="W11" s="1071"/>
      <c r="X11" s="1071"/>
      <c r="Y11" s="1071"/>
      <c r="Z11" s="1071"/>
      <c r="AA11" s="1071"/>
      <c r="AB11" s="1071"/>
      <c r="AC11" s="1071"/>
      <c r="AD11" s="1072"/>
      <c r="AE11" s="28"/>
      <c r="AF11" s="28"/>
      <c r="AG11" s="120"/>
      <c r="AH11" s="28"/>
      <c r="AI11" s="8"/>
      <c r="AT11" s="257"/>
      <c r="AU11" s="259"/>
    </row>
    <row r="12" spans="1:47" s="9" customFormat="1" ht="12.75" customHeight="1">
      <c r="B12" s="7"/>
      <c r="C12" s="661"/>
      <c r="D12" s="653"/>
      <c r="E12" s="653"/>
      <c r="F12" s="653"/>
      <c r="G12" s="683"/>
      <c r="H12" s="653"/>
      <c r="I12" s="683"/>
      <c r="J12" s="683"/>
      <c r="K12" s="683"/>
      <c r="L12" s="653"/>
      <c r="M12" s="682" t="s">
        <v>20</v>
      </c>
      <c r="N12" s="681" t="s">
        <v>242</v>
      </c>
      <c r="O12" s="1003" t="str">
        <f>IF(ISERROR(('3_rezeptkarte'!X11*(100-O11)*'3_rezeptkarte'!M13)/(O11*100)),"",('3_rezeptkarte'!X11*(100-O11)*'3_rezeptkarte'!M13)/(O11*100))</f>
        <v/>
      </c>
      <c r="P12" s="1003"/>
      <c r="Q12" s="657" t="s">
        <v>875</v>
      </c>
      <c r="R12" s="28"/>
      <c r="S12" s="1070"/>
      <c r="T12" s="1071"/>
      <c r="U12" s="1071"/>
      <c r="V12" s="1071"/>
      <c r="W12" s="1071"/>
      <c r="X12" s="1071"/>
      <c r="Y12" s="1071"/>
      <c r="Z12" s="1071"/>
      <c r="AA12" s="1071"/>
      <c r="AB12" s="1071"/>
      <c r="AC12" s="1071"/>
      <c r="AD12" s="1072"/>
      <c r="AE12" s="28"/>
      <c r="AF12" s="28"/>
      <c r="AG12" s="28"/>
      <c r="AH12" s="28"/>
      <c r="AI12" s="8"/>
      <c r="AT12" s="257"/>
      <c r="AU12" s="259"/>
    </row>
    <row r="13" spans="1:47" s="9" customFormat="1" ht="12.75" customHeight="1">
      <c r="B13" s="7"/>
      <c r="C13" s="661"/>
      <c r="D13" s="653"/>
      <c r="E13" s="653"/>
      <c r="F13" s="653"/>
      <c r="G13" s="683"/>
      <c r="H13" s="653"/>
      <c r="I13" s="683"/>
      <c r="J13" s="683"/>
      <c r="K13" s="683"/>
      <c r="L13" s="653"/>
      <c r="M13" s="682"/>
      <c r="N13" s="681"/>
      <c r="O13" s="653"/>
      <c r="P13" s="653"/>
      <c r="Q13" s="657"/>
      <c r="R13" s="28"/>
      <c r="S13" s="1070"/>
      <c r="T13" s="1071"/>
      <c r="U13" s="1071"/>
      <c r="V13" s="1071"/>
      <c r="W13" s="1071"/>
      <c r="X13" s="1071"/>
      <c r="Y13" s="1071"/>
      <c r="Z13" s="1071"/>
      <c r="AA13" s="1071"/>
      <c r="AB13" s="1071"/>
      <c r="AC13" s="1071"/>
      <c r="AD13" s="1072"/>
      <c r="AE13" s="28"/>
      <c r="AF13" s="28"/>
      <c r="AG13" s="28"/>
      <c r="AH13" s="28"/>
      <c r="AI13" s="8"/>
      <c r="AT13" s="257"/>
      <c r="AU13" s="259"/>
    </row>
    <row r="14" spans="1:47" s="9" customFormat="1" ht="12.6" customHeight="1">
      <c r="B14" s="7"/>
      <c r="C14" s="661"/>
      <c r="D14" s="530" t="s">
        <v>21</v>
      </c>
      <c r="E14" s="680" t="s">
        <v>52</v>
      </c>
      <c r="F14" s="653"/>
      <c r="G14" s="653"/>
      <c r="H14" s="653"/>
      <c r="I14" s="653"/>
      <c r="J14" s="653"/>
      <c r="K14" s="653"/>
      <c r="L14" s="653"/>
      <c r="M14" s="684"/>
      <c r="N14" s="681" t="s">
        <v>242</v>
      </c>
      <c r="O14" s="1014" t="str">
        <f>IF(ISERROR(O12+('3_rezeptkarte'!M13*0.7)),"", O12+('3_rezeptkarte'!M13*0.7))</f>
        <v/>
      </c>
      <c r="P14" s="1014"/>
      <c r="Q14" s="657" t="s">
        <v>875</v>
      </c>
      <c r="R14" s="28"/>
      <c r="S14" s="1070"/>
      <c r="T14" s="1071"/>
      <c r="U14" s="1071"/>
      <c r="V14" s="1071"/>
      <c r="W14" s="1071"/>
      <c r="X14" s="1071"/>
      <c r="Y14" s="1071"/>
      <c r="Z14" s="1071"/>
      <c r="AA14" s="1071"/>
      <c r="AB14" s="1071"/>
      <c r="AC14" s="1071"/>
      <c r="AD14" s="1072"/>
      <c r="AE14" s="213"/>
      <c r="AF14" s="213"/>
      <c r="AG14" s="213"/>
      <c r="AH14" s="28"/>
      <c r="AI14" s="8"/>
      <c r="AT14" s="257"/>
      <c r="AU14" s="259"/>
    </row>
    <row r="15" spans="1:47" s="9" customFormat="1" ht="2.25" customHeight="1">
      <c r="B15" s="7"/>
      <c r="C15" s="664"/>
      <c r="D15" s="655"/>
      <c r="E15" s="655"/>
      <c r="F15" s="655"/>
      <c r="G15" s="655"/>
      <c r="H15" s="655"/>
      <c r="I15" s="655"/>
      <c r="J15" s="655"/>
      <c r="K15" s="655"/>
      <c r="L15" s="655"/>
      <c r="M15" s="655"/>
      <c r="N15" s="655"/>
      <c r="O15" s="655"/>
      <c r="P15" s="655"/>
      <c r="Q15" s="658"/>
      <c r="R15" s="28"/>
      <c r="S15" s="1073"/>
      <c r="T15" s="1074"/>
      <c r="U15" s="1074"/>
      <c r="V15" s="1074"/>
      <c r="W15" s="1074"/>
      <c r="X15" s="1074"/>
      <c r="Y15" s="1074"/>
      <c r="Z15" s="1074"/>
      <c r="AA15" s="1074"/>
      <c r="AB15" s="1074"/>
      <c r="AC15" s="1074"/>
      <c r="AD15" s="1075"/>
      <c r="AE15" s="213"/>
      <c r="AF15" s="213"/>
      <c r="AG15" s="213"/>
      <c r="AH15" s="28"/>
      <c r="AI15" s="8"/>
      <c r="AT15" s="257"/>
      <c r="AU15" s="259"/>
    </row>
    <row r="16" spans="1:47" s="9" customFormat="1" ht="2.25" customHeight="1">
      <c r="B16" s="7"/>
      <c r="AI16" s="8"/>
      <c r="AT16" s="257"/>
      <c r="AU16" s="259"/>
    </row>
    <row r="17" spans="2:47" s="9" customFormat="1" ht="2.25" customHeight="1">
      <c r="B17" s="7"/>
      <c r="C17" s="227"/>
      <c r="D17" s="228"/>
      <c r="E17" s="228"/>
      <c r="F17" s="228"/>
      <c r="G17" s="228"/>
      <c r="H17" s="228"/>
      <c r="I17" s="228"/>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9"/>
      <c r="AI17" s="8"/>
      <c r="AK17" s="660"/>
      <c r="AL17" s="649"/>
      <c r="AM17" s="649"/>
      <c r="AN17" s="649"/>
      <c r="AO17" s="649"/>
      <c r="AP17" s="649"/>
      <c r="AQ17" s="650"/>
      <c r="AT17" s="257"/>
      <c r="AU17" s="259"/>
    </row>
    <row r="18" spans="2:47" ht="14.4" customHeight="1">
      <c r="B18" s="10"/>
      <c r="C18" s="34"/>
      <c r="D18" s="225" t="s">
        <v>287</v>
      </c>
      <c r="I18" s="1017" t="str">
        <f>'3_rezeptkarte'!Q19</f>
        <v/>
      </c>
      <c r="J18" s="1017"/>
      <c r="K18" s="1002" t="str">
        <f>'3_rezeptkarte'!D19</f>
        <v>&lt;Malzsorte wählen&gt;</v>
      </c>
      <c r="L18" s="1002"/>
      <c r="M18" s="1002"/>
      <c r="N18" s="1002"/>
      <c r="O18" s="1002"/>
      <c r="P18" s="1002"/>
      <c r="Q18" s="1002"/>
      <c r="R18" s="1002"/>
      <c r="S18" s="782"/>
      <c r="T18" s="9"/>
      <c r="U18" s="1017" t="str">
        <f>'3_rezeptkarte'!Q20</f>
        <v/>
      </c>
      <c r="V18" s="1017"/>
      <c r="W18" s="1017"/>
      <c r="X18" s="1002" t="str">
        <f>IF(ISBLANK('3_rezeptkarte'!D20),"",'3_rezeptkarte'!D20)</f>
        <v>&lt;Malzsorte wählen&gt;</v>
      </c>
      <c r="Y18" s="1002"/>
      <c r="Z18" s="1002"/>
      <c r="AA18" s="1002"/>
      <c r="AB18" s="1002"/>
      <c r="AC18" s="1002"/>
      <c r="AD18" s="1002"/>
      <c r="AE18" s="1002"/>
      <c r="AF18" s="1002"/>
      <c r="AG18" s="782"/>
      <c r="AH18" s="35"/>
      <c r="AI18" s="11"/>
      <c r="AK18" s="661" t="s">
        <v>825</v>
      </c>
      <c r="AL18" s="662"/>
      <c r="AM18" s="662"/>
      <c r="AN18" s="663"/>
      <c r="AO18" s="663"/>
      <c r="AP18" s="692">
        <v>-0.5</v>
      </c>
      <c r="AQ18" s="657" t="s">
        <v>826</v>
      </c>
      <c r="AT18" s="257"/>
      <c r="AU18" s="259"/>
    </row>
    <row r="19" spans="2:47" ht="14.25" customHeight="1">
      <c r="B19" s="10"/>
      <c r="C19" s="34"/>
      <c r="D19" s="225"/>
      <c r="I19" s="1031" t="str">
        <f>IF(ISERROR('3_rezeptkarte'!Q21),"",'3_rezeptkarte'!Q21)</f>
        <v/>
      </c>
      <c r="J19" s="1031"/>
      <c r="K19" s="1015" t="str">
        <f>IF(ISBLANK('3_rezeptkarte'!D21),"",'3_rezeptkarte'!D21)</f>
        <v>&lt;Malzsorte wählen&gt;</v>
      </c>
      <c r="L19" s="1015"/>
      <c r="M19" s="1015"/>
      <c r="N19" s="1015"/>
      <c r="O19" s="1015"/>
      <c r="P19" s="1015"/>
      <c r="Q19" s="1015"/>
      <c r="R19" s="1015"/>
      <c r="S19" s="781"/>
      <c r="T19" s="9"/>
      <c r="U19" s="1031" t="str">
        <f>'3_rezeptkarte'!Q22</f>
        <v/>
      </c>
      <c r="V19" s="1031"/>
      <c r="W19" s="1031"/>
      <c r="X19" s="1015" t="str">
        <f>IF(ISBLANK('3_rezeptkarte'!D22),"",'3_rezeptkarte'!D22)</f>
        <v>&lt;Malzsorte wählen&gt;</v>
      </c>
      <c r="Y19" s="1015"/>
      <c r="Z19" s="1015"/>
      <c r="AA19" s="1015"/>
      <c r="AB19" s="1015"/>
      <c r="AC19" s="1015"/>
      <c r="AD19" s="1015"/>
      <c r="AE19" s="1015"/>
      <c r="AF19" s="1015"/>
      <c r="AG19" s="226"/>
      <c r="AH19" s="35"/>
      <c r="AI19" s="11"/>
      <c r="AK19" s="661" t="s">
        <v>828</v>
      </c>
      <c r="AL19" s="662"/>
      <c r="AM19" s="662"/>
      <c r="AN19" s="651"/>
      <c r="AO19" s="651"/>
      <c r="AP19" s="693">
        <v>1.7</v>
      </c>
      <c r="AQ19" s="657" t="s">
        <v>823</v>
      </c>
      <c r="AT19" s="257"/>
      <c r="AU19" s="259"/>
    </row>
    <row r="20" spans="2:47" ht="14.25" customHeight="1">
      <c r="B20" s="10"/>
      <c r="C20" s="34"/>
      <c r="D20" s="225"/>
      <c r="I20" s="1031" t="str">
        <f>'3_rezeptkarte'!Q23</f>
        <v/>
      </c>
      <c r="J20" s="1031"/>
      <c r="K20" s="1015" t="str">
        <f>IF(ISBLANK('3_rezeptkarte'!D23),"",'3_rezeptkarte'!D23)</f>
        <v>&lt;Malzsorte wählen&gt;</v>
      </c>
      <c r="L20" s="1015"/>
      <c r="M20" s="1015"/>
      <c r="N20" s="1015"/>
      <c r="O20" s="1015"/>
      <c r="P20" s="1015"/>
      <c r="Q20" s="1015"/>
      <c r="R20" s="1015"/>
      <c r="S20" s="226"/>
      <c r="T20" s="9"/>
      <c r="U20" s="1031" t="str">
        <f>'3_rezeptkarte'!Q24</f>
        <v/>
      </c>
      <c r="V20" s="1031"/>
      <c r="W20" s="1031"/>
      <c r="X20" s="1015" t="str">
        <f>IF(ISBLANK('3_rezeptkarte'!D24),"",'3_rezeptkarte'!D24)</f>
        <v>&lt;Malzsorte wählen&gt;</v>
      </c>
      <c r="Y20" s="1015"/>
      <c r="Z20" s="1015"/>
      <c r="AA20" s="1015"/>
      <c r="AB20" s="1015"/>
      <c r="AC20" s="1015"/>
      <c r="AD20" s="1015"/>
      <c r="AE20" s="1015"/>
      <c r="AF20" s="1015"/>
      <c r="AG20" s="226"/>
      <c r="AH20" s="35"/>
      <c r="AI20" s="11"/>
      <c r="AK20" s="661" t="s">
        <v>824</v>
      </c>
      <c r="AL20" s="662"/>
      <c r="AM20" s="662"/>
      <c r="AN20" s="651"/>
      <c r="AO20" s="651"/>
      <c r="AP20" s="694">
        <v>4.1859999999999999</v>
      </c>
      <c r="AQ20" s="657" t="s">
        <v>823</v>
      </c>
      <c r="AT20" s="257"/>
      <c r="AU20" s="259"/>
    </row>
    <row r="21" spans="2:47" s="9" customFormat="1" ht="2.25" customHeight="1">
      <c r="B21" s="7"/>
      <c r="C21" s="230"/>
      <c r="D21" s="211"/>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31"/>
      <c r="AI21" s="8"/>
      <c r="AK21" s="661"/>
      <c r="AL21" s="653"/>
      <c r="AM21" s="653"/>
      <c r="AN21" s="653"/>
      <c r="AO21" s="653"/>
      <c r="AP21" s="653"/>
      <c r="AQ21" s="657"/>
      <c r="AT21" s="257"/>
      <c r="AU21" s="259"/>
    </row>
    <row r="22" spans="2:47" s="9" customFormat="1" ht="2.25" customHeight="1">
      <c r="B22" s="7"/>
      <c r="AI22" s="8"/>
      <c r="AK22" s="661"/>
      <c r="AL22" s="653"/>
      <c r="AM22" s="653"/>
      <c r="AN22" s="653"/>
      <c r="AO22" s="653"/>
      <c r="AP22" s="653"/>
      <c r="AQ22" s="657"/>
      <c r="AT22" s="257"/>
      <c r="AU22" s="259"/>
    </row>
    <row r="23" spans="2:47" s="9" customFormat="1" ht="2.25" customHeight="1">
      <c r="B23" s="7"/>
      <c r="C23" s="227"/>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649"/>
      <c r="AD23" s="649"/>
      <c r="AE23" s="649"/>
      <c r="AF23" s="649"/>
      <c r="AG23" s="649"/>
      <c r="AH23" s="650"/>
      <c r="AI23" s="8"/>
      <c r="AK23" s="661"/>
      <c r="AL23" s="653"/>
      <c r="AM23" s="653"/>
      <c r="AN23" s="653"/>
      <c r="AO23" s="653"/>
      <c r="AP23" s="653"/>
      <c r="AQ23" s="657"/>
      <c r="AT23" s="257"/>
      <c r="AU23" s="259"/>
    </row>
    <row r="24" spans="2:47" ht="14.25" customHeight="1">
      <c r="B24" s="10"/>
      <c r="C24" s="34"/>
      <c r="D24" s="225" t="s">
        <v>277</v>
      </c>
      <c r="J24" s="1002" t="str">
        <f>'3_rezeptkarte'!O28</f>
        <v>Maischverfahren wählen</v>
      </c>
      <c r="K24" s="1002"/>
      <c r="L24" s="1002"/>
      <c r="M24" s="1002"/>
      <c r="N24" s="1002"/>
      <c r="O24" s="1002"/>
      <c r="P24" s="1002"/>
      <c r="Q24" s="1002"/>
      <c r="U24" s="3" t="s">
        <v>20</v>
      </c>
      <c r="V24" s="1047"/>
      <c r="W24" s="1047"/>
      <c r="X24" s="2" t="s">
        <v>1</v>
      </c>
      <c r="AA24" s="158"/>
      <c r="AB24" s="158"/>
      <c r="AC24" s="651"/>
      <c r="AD24" s="527" t="s">
        <v>21</v>
      </c>
      <c r="AE24" s="651"/>
      <c r="AF24" s="651"/>
      <c r="AG24" s="651"/>
      <c r="AH24" s="657"/>
      <c r="AI24" s="11"/>
      <c r="AK24" s="661"/>
      <c r="AL24" s="653"/>
      <c r="AM24" s="653"/>
      <c r="AN24" s="653"/>
      <c r="AO24" s="653"/>
      <c r="AP24" s="653"/>
      <c r="AQ24" s="657"/>
      <c r="AT24" s="257"/>
      <c r="AU24" s="259"/>
    </row>
    <row r="25" spans="2:47" ht="2.25" customHeight="1">
      <c r="B25" s="10"/>
      <c r="C25" s="34"/>
      <c r="D25" s="225"/>
      <c r="V25" s="17"/>
      <c r="W25" s="17"/>
      <c r="AC25" s="651"/>
      <c r="AD25" s="651"/>
      <c r="AE25" s="651"/>
      <c r="AF25" s="651"/>
      <c r="AG25" s="651"/>
      <c r="AH25" s="656"/>
      <c r="AI25" s="11"/>
      <c r="AK25" s="661"/>
      <c r="AL25" s="662"/>
      <c r="AM25" s="662"/>
      <c r="AN25" s="663"/>
      <c r="AO25" s="663"/>
      <c r="AP25" s="663"/>
      <c r="AQ25" s="657"/>
      <c r="AT25" s="257"/>
      <c r="AU25" s="259"/>
    </row>
    <row r="26" spans="2:47" ht="14.25" customHeight="1">
      <c r="B26" s="10"/>
      <c r="C26" s="34"/>
      <c r="D26" s="16" t="s">
        <v>820</v>
      </c>
      <c r="E26" s="16"/>
      <c r="L26" s="3" t="s">
        <v>817</v>
      </c>
      <c r="M26" s="1045"/>
      <c r="N26" s="1045"/>
      <c r="O26" s="2" t="s">
        <v>3</v>
      </c>
      <c r="Q26" s="1047"/>
      <c r="R26" s="1047"/>
      <c r="S26" s="2" t="s">
        <v>1</v>
      </c>
      <c r="U26" s="3" t="s">
        <v>8</v>
      </c>
      <c r="V26" s="1057"/>
      <c r="W26" s="1057"/>
      <c r="X26" s="2" t="s">
        <v>4</v>
      </c>
      <c r="Y26" s="18" t="s">
        <v>14</v>
      </c>
      <c r="Z26" s="1066"/>
      <c r="AA26" s="1066"/>
      <c r="AB26" s="26"/>
      <c r="AC26" s="652"/>
      <c r="AD26" s="1058"/>
      <c r="AE26" s="1058"/>
      <c r="AF26" s="687" t="s">
        <v>827</v>
      </c>
      <c r="AG26" s="690" t="str">
        <f>IF(ISERROR((V27*(V24+'3_rezeptkarte'!M13+AD26)*AP27-(V24+'3_rezeptkarte'!M13)*AP26*(V26+$AP$18))/(AD26*$AP$20)),"",(V27*(V24+'3_rezeptkarte'!M13+AD26)*AP27-(V24+'3_rezeptkarte'!M13)*AP26*(V26+$AP$18))/(AD26*$AP$20))</f>
        <v/>
      </c>
      <c r="AH26" s="659" t="s">
        <v>4</v>
      </c>
      <c r="AI26" s="11"/>
      <c r="AK26" s="661" t="str">
        <f>CONCATENATE("spez. Wärmekapazität nach ",D26)</f>
        <v>spez. Wärmekapazität nach Gesamtmaische</v>
      </c>
      <c r="AL26" s="662"/>
      <c r="AM26" s="662"/>
      <c r="AN26" s="663"/>
      <c r="AO26" s="663"/>
      <c r="AP26" s="695" t="str">
        <f>IF(ISERROR(('3_rezeptkarte'!M13*AP19+V24*AP20)/('3_rezeptkarte'!M13+V24)),"",('3_rezeptkarte'!M13*AP19+V24*AP20)/('3_rezeptkarte'!M13+V24))</f>
        <v/>
      </c>
      <c r="AQ26" s="657" t="s">
        <v>823</v>
      </c>
      <c r="AT26" s="257"/>
      <c r="AU26" s="259"/>
    </row>
    <row r="27" spans="2:47" ht="14.25" customHeight="1">
      <c r="B27" s="10"/>
      <c r="C27" s="34"/>
      <c r="D27" s="1002" t="str">
        <f>'3_rezeptkarte'!P30</f>
        <v>Rast</v>
      </c>
      <c r="E27" s="1002"/>
      <c r="F27" s="1002"/>
      <c r="G27" s="1002"/>
      <c r="H27" s="1002"/>
      <c r="I27" s="1002"/>
      <c r="J27" s="1002"/>
      <c r="K27" s="22"/>
      <c r="L27" s="3" t="s">
        <v>24</v>
      </c>
      <c r="M27" s="1061"/>
      <c r="N27" s="1064"/>
      <c r="O27" s="24" t="s">
        <v>818</v>
      </c>
      <c r="Q27" s="1062"/>
      <c r="R27" s="1063"/>
      <c r="S27" s="24" t="s">
        <v>3</v>
      </c>
      <c r="U27" s="3" t="s">
        <v>11</v>
      </c>
      <c r="V27" s="1003" t="str">
        <f>IF(D27="Rast","0",IF(D27="-","",'3_rezeptkarte'!D30))</f>
        <v>0</v>
      </c>
      <c r="W27" s="1003"/>
      <c r="X27" s="24" t="s">
        <v>4</v>
      </c>
      <c r="Z27" s="3" t="s">
        <v>40</v>
      </c>
      <c r="AA27" s="679">
        <f>IF(ISBLANK('3_rezeptkarte'!AR30),"",'3_rezeptkarte'!AR30)</f>
        <v>0</v>
      </c>
      <c r="AB27" s="24" t="s">
        <v>62</v>
      </c>
      <c r="AC27" s="654"/>
      <c r="AD27" s="1065"/>
      <c r="AE27" s="1065"/>
      <c r="AF27" s="688" t="s">
        <v>827</v>
      </c>
      <c r="AG27" s="691" t="str">
        <f>IF(ISERROR((V28*($V$24+'3_rezeptkarte'!M13+$AD$26+$AD$27)*AP28-($V$24+'3_rezeptkarte'!M13+$AD$26)*AP27*(V27+$AP$18))/(AD27*$AP$20)),"",(V28*($V$24+'3_rezeptkarte'!M13+$AD$26+$AD$27)*AP28-($V$24+'3_rezeptkarte'!M13+$AD$26)*AP27*(V27+$AP$18))/(AD27*$AP$20))</f>
        <v/>
      </c>
      <c r="AH27" s="648" t="s">
        <v>4</v>
      </c>
      <c r="AI27" s="11"/>
      <c r="AK27" s="661" t="str">
        <f>CONCATENATE("spez. Wärmekapazität nach ",D27)</f>
        <v>spez. Wärmekapazität nach Rast</v>
      </c>
      <c r="AL27" s="662"/>
      <c r="AM27" s="662"/>
      <c r="AN27" s="663"/>
      <c r="AO27" s="663"/>
      <c r="AP27" s="696" t="str">
        <f>IF(ISERROR((($V$24+'3_rezeptkarte'!M13)*$AP$26+AD26*$AP$20)/($V$24+'3_rezeptkarte'!M13+AD26)),"",(($V$24+'3_rezeptkarte'!M13)*$AP$26+AD26*$AP$20)/($V$24+'3_rezeptkarte'!M13+AD26))</f>
        <v/>
      </c>
      <c r="AQ27" s="657" t="s">
        <v>823</v>
      </c>
      <c r="AT27" s="257"/>
      <c r="AU27" s="259"/>
    </row>
    <row r="28" spans="2:47" ht="14.25" customHeight="1">
      <c r="B28" s="10"/>
      <c r="C28" s="34"/>
      <c r="D28" s="1041" t="str">
        <f>'3_rezeptkarte'!P31</f>
        <v>Rast</v>
      </c>
      <c r="E28" s="1015"/>
      <c r="F28" s="1015"/>
      <c r="G28" s="1015"/>
      <c r="H28" s="1015"/>
      <c r="I28" s="1015"/>
      <c r="J28" s="1015"/>
      <c r="K28" s="22"/>
      <c r="L28" s="3" t="s">
        <v>24</v>
      </c>
      <c r="M28" s="1061"/>
      <c r="N28" s="1064"/>
      <c r="O28" s="24" t="s">
        <v>818</v>
      </c>
      <c r="Q28" s="1062"/>
      <c r="R28" s="1063"/>
      <c r="S28" s="24" t="s">
        <v>3</v>
      </c>
      <c r="U28" s="3" t="s">
        <v>11</v>
      </c>
      <c r="V28" s="1003" t="str">
        <f>IF(D28="Rast","0",IF(D28="-","",'3_rezeptkarte'!D31))</f>
        <v>0</v>
      </c>
      <c r="W28" s="1003"/>
      <c r="X28" s="24" t="s">
        <v>4</v>
      </c>
      <c r="Z28" s="3" t="s">
        <v>40</v>
      </c>
      <c r="AA28" s="679">
        <f>IF(ISBLANK('3_rezeptkarte'!AR31),"",'3_rezeptkarte'!AR31)</f>
        <v>0</v>
      </c>
      <c r="AB28" s="24" t="s">
        <v>62</v>
      </c>
      <c r="AC28" s="654"/>
      <c r="AD28" s="1065"/>
      <c r="AE28" s="1065"/>
      <c r="AF28" s="688" t="s">
        <v>827</v>
      </c>
      <c r="AG28" s="691" t="str">
        <f>IF(ISERROR((V29*($V$24+'3_rezeptkarte'!M13+$AD$26+$AD$27+$AD$28)*AP29-($V$24+'3_rezeptkarte'!M13+$AD$26+$AD$27)*AP28*(V28+$AP$18))/(AD28*$AP$20)),"",(V29*($V$24+'3_rezeptkarte'!M13+$AD$26+$AD$27+$AD$28)*AP29-($V$24+'3_rezeptkarte'!M13+$AD$26+$AD$27)*AP28*(V28+$AP$18))/(AD28*$AP$20))</f>
        <v/>
      </c>
      <c r="AH28" s="657" t="s">
        <v>4</v>
      </c>
      <c r="AI28" s="11"/>
      <c r="AK28" s="661" t="str">
        <f>CONCATENATE("spez. Wärmekapazität nach ",D28)</f>
        <v>spez. Wärmekapazität nach Rast</v>
      </c>
      <c r="AL28" s="662"/>
      <c r="AM28" s="662"/>
      <c r="AN28" s="663"/>
      <c r="AO28" s="663"/>
      <c r="AP28" s="696" t="str">
        <f>IF(ISERROR((($V$24+'3_rezeptkarte'!M13+AD26)*AP27+AD27*$AP$20)/($V$24+'3_rezeptkarte'!M13+AD26+AD27)),"",(($V$24+'3_rezeptkarte'!M13+AD26)*AP27+AD27*$AP$20)/($V$24+'3_rezeptkarte'!M13+AD26+AD27))</f>
        <v/>
      </c>
      <c r="AQ28" s="657" t="s">
        <v>823</v>
      </c>
      <c r="AT28" s="257"/>
      <c r="AU28" s="259"/>
    </row>
    <row r="29" spans="2:47" ht="14.25" customHeight="1">
      <c r="B29" s="10"/>
      <c r="C29" s="34"/>
      <c r="D29" s="1015" t="str">
        <f>'3_rezeptkarte'!P32</f>
        <v>Rast</v>
      </c>
      <c r="E29" s="1015"/>
      <c r="F29" s="1015"/>
      <c r="G29" s="1015"/>
      <c r="H29" s="1015"/>
      <c r="I29" s="1015"/>
      <c r="J29" s="1015"/>
      <c r="K29" s="22"/>
      <c r="L29" s="3" t="s">
        <v>1136</v>
      </c>
      <c r="M29" s="1061"/>
      <c r="N29" s="1064"/>
      <c r="O29" s="24" t="s">
        <v>818</v>
      </c>
      <c r="Q29" s="1062"/>
      <c r="R29" s="1063"/>
      <c r="S29" s="24" t="s">
        <v>3</v>
      </c>
      <c r="U29" s="3" t="s">
        <v>11</v>
      </c>
      <c r="V29" s="1003" t="str">
        <f>IF(D29="Rast","0",IF(D29="-","",'3_rezeptkarte'!D32))</f>
        <v>0</v>
      </c>
      <c r="W29" s="1003"/>
      <c r="X29" s="24" t="s">
        <v>4</v>
      </c>
      <c r="Z29" s="3" t="s">
        <v>40</v>
      </c>
      <c r="AA29" s="679">
        <f>IF(ISBLANK('3_rezeptkarte'!AR32),"",'3_rezeptkarte'!AR32)</f>
        <v>0</v>
      </c>
      <c r="AB29" s="24" t="s">
        <v>62</v>
      </c>
      <c r="AC29" s="654"/>
      <c r="AD29" s="1021">
        <f>V24+AD26+AD27+AD28</f>
        <v>0</v>
      </c>
      <c r="AE29" s="1021"/>
      <c r="AF29" s="689" t="s">
        <v>830</v>
      </c>
      <c r="AG29" s="688"/>
      <c r="AH29" s="656"/>
      <c r="AI29" s="11"/>
      <c r="AK29" s="661" t="str">
        <f>CONCATENATE("spez. Wärmekapazität nach ",D29)</f>
        <v>spez. Wärmekapazität nach Rast</v>
      </c>
      <c r="AL29" s="662"/>
      <c r="AM29" s="662"/>
      <c r="AN29" s="663"/>
      <c r="AO29" s="663"/>
      <c r="AP29" s="696" t="str">
        <f>IF(ISERROR((($V$24+'3_rezeptkarte'!M13+$AD$26+$AD$27)*AP28+AD28*$AP$20)/($V$24+'3_rezeptkarte'!M13+$AD$26+$AD$27+$AD$28)),"",(($V$24+'3_rezeptkarte'!M13+$AD$26+$AD$27)*AP28+AD28*$AP$20)/($V$24+'3_rezeptkarte'!M13+$AD$26+$AD$27+$AD$28))</f>
        <v/>
      </c>
      <c r="AQ29" s="657" t="s">
        <v>823</v>
      </c>
      <c r="AT29" s="257"/>
      <c r="AU29" s="259"/>
    </row>
    <row r="30" spans="2:47" s="9" customFormat="1" ht="2.25" customHeight="1">
      <c r="B30" s="7"/>
      <c r="C30" s="34"/>
      <c r="D30" s="417"/>
      <c r="E30" s="211"/>
      <c r="F30" s="211"/>
      <c r="G30" s="211"/>
      <c r="H30" s="211"/>
      <c r="I30" s="211"/>
      <c r="J30" s="211"/>
      <c r="K30" s="211"/>
      <c r="L30" s="211"/>
      <c r="M30" s="796"/>
      <c r="N30" s="796"/>
      <c r="O30" s="211"/>
      <c r="P30" s="211"/>
      <c r="Q30" s="796"/>
      <c r="R30" s="796"/>
      <c r="S30" s="211"/>
      <c r="T30" s="211"/>
      <c r="U30" s="211"/>
      <c r="V30" s="211"/>
      <c r="W30" s="211"/>
      <c r="X30" s="211"/>
      <c r="Y30" s="211"/>
      <c r="Z30" s="211"/>
      <c r="AA30" s="211"/>
      <c r="AB30" s="211"/>
      <c r="AC30" s="655"/>
      <c r="AD30" s="655"/>
      <c r="AE30" s="655"/>
      <c r="AF30" s="655"/>
      <c r="AG30" s="655"/>
      <c r="AH30" s="658"/>
      <c r="AI30" s="8"/>
      <c r="AK30" s="664"/>
      <c r="AL30" s="655"/>
      <c r="AM30" s="655"/>
      <c r="AN30" s="655"/>
      <c r="AO30" s="655"/>
      <c r="AP30" s="655"/>
      <c r="AQ30" s="658"/>
      <c r="AT30" s="257"/>
      <c r="AU30" s="259"/>
    </row>
    <row r="31" spans="2:47" s="9" customFormat="1" ht="2.25" customHeight="1">
      <c r="B31" s="7"/>
      <c r="C31" s="208"/>
      <c r="M31" s="120"/>
      <c r="N31" s="120"/>
      <c r="Q31" s="120"/>
      <c r="R31" s="120"/>
      <c r="AH31" s="209"/>
      <c r="AI31" s="8"/>
      <c r="AK31" s="660"/>
      <c r="AL31" s="649"/>
      <c r="AM31" s="649"/>
      <c r="AN31" s="649"/>
      <c r="AO31" s="649"/>
      <c r="AP31" s="649"/>
      <c r="AQ31" s="650"/>
      <c r="AT31" s="257"/>
      <c r="AU31" s="259"/>
    </row>
    <row r="32" spans="2:47" ht="14.25" hidden="1" customHeight="1" outlineLevel="1">
      <c r="B32" s="10"/>
      <c r="C32" s="34"/>
      <c r="D32" s="16" t="str">
        <f>'3_rezeptkarte'!D35</f>
        <v xml:space="preserve">  1. Kochmaische ziehen</v>
      </c>
      <c r="L32" s="3" t="s">
        <v>230</v>
      </c>
      <c r="M32" s="1045"/>
      <c r="N32" s="1045"/>
      <c r="O32" s="2" t="s">
        <v>3</v>
      </c>
      <c r="Q32" s="1018"/>
      <c r="R32" s="1018"/>
      <c r="S32" s="2" t="s">
        <v>1</v>
      </c>
      <c r="V32" s="1002" t="str">
        <f>'3_rezeptkarte'!L35</f>
        <v>wählen</v>
      </c>
      <c r="W32" s="1002"/>
      <c r="X32" s="1002"/>
      <c r="Y32" s="1002"/>
      <c r="Z32" s="1002"/>
      <c r="AA32" s="26"/>
      <c r="AB32" s="686">
        <f>'3_rezeptkarte'!R35</f>
        <v>0</v>
      </c>
      <c r="AC32" s="575" t="s">
        <v>5</v>
      </c>
      <c r="AD32" s="427"/>
      <c r="AE32" s="427"/>
      <c r="AF32" s="427"/>
      <c r="AG32" s="26"/>
      <c r="AH32" s="40"/>
      <c r="AI32" s="11"/>
      <c r="AK32" s="430"/>
      <c r="AL32" s="158"/>
      <c r="AM32" s="158"/>
      <c r="AN32" s="158"/>
      <c r="AO32" s="158"/>
      <c r="AP32" s="158"/>
      <c r="AQ32" s="431"/>
      <c r="AT32" s="257"/>
      <c r="AU32" s="259"/>
    </row>
    <row r="33" spans="2:47" ht="14.25" hidden="1" customHeight="1" outlineLevel="1">
      <c r="B33" s="10"/>
      <c r="C33" s="34"/>
      <c r="D33" s="1002" t="str">
        <f>'3_rezeptkarte'!P36</f>
        <v>Rast</v>
      </c>
      <c r="E33" s="1002"/>
      <c r="F33" s="1002"/>
      <c r="G33" s="1002"/>
      <c r="H33" s="1002"/>
      <c r="I33" s="1002"/>
      <c r="J33" s="1002"/>
      <c r="K33" s="22"/>
      <c r="L33" s="3" t="s">
        <v>1136</v>
      </c>
      <c r="M33" s="1061"/>
      <c r="N33" s="1064"/>
      <c r="O33" s="24" t="s">
        <v>818</v>
      </c>
      <c r="Q33" s="1062"/>
      <c r="R33" s="1063"/>
      <c r="S33" s="24" t="s">
        <v>3</v>
      </c>
      <c r="U33" s="3" t="s">
        <v>11</v>
      </c>
      <c r="V33" s="1003" t="str">
        <f>IF(D33="Rast","0",IF(D33="-","",'3_rezeptkarte'!D36))</f>
        <v>0</v>
      </c>
      <c r="W33" s="1003"/>
      <c r="X33" s="24" t="s">
        <v>4</v>
      </c>
      <c r="Z33" s="3" t="s">
        <v>40</v>
      </c>
      <c r="AA33" s="685">
        <f>IF(ISBLANK('3_rezeptkarte'!AR36),"",'3_rezeptkarte'!AR36)</f>
        <v>0</v>
      </c>
      <c r="AB33" s="24" t="s">
        <v>62</v>
      </c>
      <c r="AC33" s="24"/>
      <c r="AD33" s="24"/>
      <c r="AE33" s="24"/>
      <c r="AF33" s="24"/>
      <c r="AG33" s="25"/>
      <c r="AH33" s="41"/>
      <c r="AI33" s="11"/>
      <c r="AK33" s="430"/>
      <c r="AL33" s="436"/>
      <c r="AM33" s="158"/>
      <c r="AN33" s="158"/>
      <c r="AO33" s="158"/>
      <c r="AP33" s="438"/>
      <c r="AQ33" s="431"/>
      <c r="AT33" s="257"/>
      <c r="AU33" s="259"/>
    </row>
    <row r="34" spans="2:47" ht="14.25" hidden="1" customHeight="1" outlineLevel="1">
      <c r="B34" s="10"/>
      <c r="C34" s="34"/>
      <c r="D34" s="1015" t="str">
        <f>'3_rezeptkarte'!P37</f>
        <v>Rast</v>
      </c>
      <c r="E34" s="1015"/>
      <c r="F34" s="1015"/>
      <c r="G34" s="1015"/>
      <c r="H34" s="1015"/>
      <c r="I34" s="1015"/>
      <c r="J34" s="1015"/>
      <c r="K34" s="22"/>
      <c r="L34" s="3" t="s">
        <v>1136</v>
      </c>
      <c r="M34" s="1061"/>
      <c r="N34" s="1064"/>
      <c r="O34" s="24" t="s">
        <v>818</v>
      </c>
      <c r="Q34" s="1062"/>
      <c r="R34" s="1063"/>
      <c r="S34" s="24" t="s">
        <v>3</v>
      </c>
      <c r="U34" s="3" t="s">
        <v>11</v>
      </c>
      <c r="V34" s="1003" t="str">
        <f>IF(D34="Rast","0",IF(D34="-","",'3_rezeptkarte'!D37))</f>
        <v>0</v>
      </c>
      <c r="W34" s="1003"/>
      <c r="X34" s="24" t="s">
        <v>4</v>
      </c>
      <c r="Z34" s="3" t="s">
        <v>40</v>
      </c>
      <c r="AA34" s="685">
        <f>IF(ISBLANK('3_rezeptkarte'!AR37),"",'3_rezeptkarte'!AR37)</f>
        <v>0</v>
      </c>
      <c r="AB34" s="24" t="s">
        <v>62</v>
      </c>
      <c r="AC34" s="24"/>
      <c r="AD34" s="24"/>
      <c r="AE34" s="24"/>
      <c r="AF34" s="24"/>
      <c r="AG34" s="25"/>
      <c r="AH34" s="41"/>
      <c r="AI34" s="11"/>
      <c r="AK34" s="430"/>
      <c r="AL34" s="436"/>
      <c r="AM34" s="158"/>
      <c r="AN34" s="158"/>
      <c r="AO34" s="158"/>
      <c r="AP34" s="157"/>
      <c r="AQ34" s="431"/>
      <c r="AT34" s="257"/>
      <c r="AU34" s="259"/>
    </row>
    <row r="35" spans="2:47" ht="14.25" hidden="1" customHeight="1" outlineLevel="1">
      <c r="B35" s="10"/>
      <c r="C35" s="34"/>
      <c r="D35" s="1015" t="str">
        <f>'3_rezeptkarte'!P38</f>
        <v>Rast</v>
      </c>
      <c r="E35" s="1015"/>
      <c r="F35" s="1015"/>
      <c r="G35" s="1015"/>
      <c r="H35" s="1015"/>
      <c r="I35" s="1015"/>
      <c r="J35" s="1015"/>
      <c r="K35" s="22"/>
      <c r="L35" s="3" t="s">
        <v>1136</v>
      </c>
      <c r="M35" s="1061"/>
      <c r="N35" s="1064"/>
      <c r="O35" s="24" t="s">
        <v>818</v>
      </c>
      <c r="Q35" s="1062"/>
      <c r="R35" s="1063"/>
      <c r="S35" s="24" t="s">
        <v>3</v>
      </c>
      <c r="U35" s="3" t="s">
        <v>11</v>
      </c>
      <c r="V35" s="1003" t="str">
        <f>IF(D35="Rast","0",IF(D35="-","",'3_rezeptkarte'!D38))</f>
        <v>0</v>
      </c>
      <c r="W35" s="1003"/>
      <c r="X35" s="24" t="s">
        <v>4</v>
      </c>
      <c r="Z35" s="3" t="s">
        <v>40</v>
      </c>
      <c r="AA35" s="685">
        <f>IF(ISBLANK('3_rezeptkarte'!AR38),"",'3_rezeptkarte'!AR38)</f>
        <v>0</v>
      </c>
      <c r="AB35" s="24" t="s">
        <v>62</v>
      </c>
      <c r="AC35" s="24"/>
      <c r="AD35" s="24"/>
      <c r="AE35" s="24"/>
      <c r="AF35" s="24"/>
      <c r="AG35" s="25"/>
      <c r="AH35" s="41"/>
      <c r="AI35" s="11"/>
      <c r="AK35" s="430"/>
      <c r="AL35" s="157"/>
      <c r="AM35" s="157"/>
      <c r="AN35" s="158"/>
      <c r="AO35" s="158"/>
      <c r="AP35" s="158"/>
      <c r="AQ35" s="431"/>
      <c r="AT35" s="257"/>
      <c r="AU35" s="259"/>
    </row>
    <row r="36" spans="2:47" s="9" customFormat="1" ht="2.25" hidden="1" customHeight="1" outlineLevel="1">
      <c r="B36" s="7"/>
      <c r="C36" s="208"/>
      <c r="M36" s="120"/>
      <c r="N36" s="120"/>
      <c r="Q36" s="120"/>
      <c r="R36" s="120"/>
      <c r="V36" s="429"/>
      <c r="W36" s="429"/>
      <c r="AC36" s="653"/>
      <c r="AD36" s="653"/>
      <c r="AE36" s="653"/>
      <c r="AF36" s="653"/>
      <c r="AG36" s="653"/>
      <c r="AH36" s="657"/>
      <c r="AI36" s="8"/>
      <c r="AK36" s="661"/>
      <c r="AL36" s="653"/>
      <c r="AM36" s="653"/>
      <c r="AN36" s="653"/>
      <c r="AO36" s="653"/>
      <c r="AP36" s="653"/>
      <c r="AQ36" s="657"/>
      <c r="AT36" s="257"/>
      <c r="AU36" s="259"/>
    </row>
    <row r="37" spans="2:47" ht="14.25" hidden="1" customHeight="1" outlineLevel="1">
      <c r="B37" s="10"/>
      <c r="C37" s="34"/>
      <c r="D37" s="16" t="s">
        <v>820</v>
      </c>
      <c r="E37" s="16"/>
      <c r="L37" s="3" t="s">
        <v>817</v>
      </c>
      <c r="M37" s="1045"/>
      <c r="N37" s="1045"/>
      <c r="O37" s="2" t="s">
        <v>3</v>
      </c>
      <c r="Q37" s="1047"/>
      <c r="R37" s="1047"/>
      <c r="S37" s="2" t="s">
        <v>1</v>
      </c>
      <c r="U37" s="3" t="s">
        <v>8</v>
      </c>
      <c r="V37" s="1057"/>
      <c r="W37" s="1057"/>
      <c r="X37" s="2" t="s">
        <v>4</v>
      </c>
      <c r="Y37" s="26"/>
      <c r="Z37" s="26"/>
      <c r="AA37" s="26"/>
      <c r="AB37" s="26"/>
      <c r="AC37" s="654"/>
      <c r="AD37" s="1058"/>
      <c r="AE37" s="1058"/>
      <c r="AF37" s="688" t="s">
        <v>827</v>
      </c>
      <c r="AG37" s="690" t="str">
        <f>IF(ISERROR((V38*($V$24+'3_rezeptkarte'!M13+$AD$26+$AD$27+$AD$28+AD37)*AP38-($V$24+'3_rezeptkarte'!M13+$AD$26+$AD$27+$AD$28)*AP37*V37)/(AD37*$AP$20)),"",(V38*($V$24+'3_rezeptkarte'!M13+$AD$26+$AD$27+$AD$28+AD37)*AP38-($V$24+'3_rezeptkarte'!M13+$AD$26+$AD$27+$AD$28)*AP37*V37)/(AD37*$AP$20))</f>
        <v/>
      </c>
      <c r="AH37" s="657" t="s">
        <v>4</v>
      </c>
      <c r="AI37" s="11"/>
      <c r="AK37" s="661" t="str">
        <f>CONCATENATE("spez. Wärmekapazität nach ",D37)</f>
        <v>spez. Wärmekapazität nach Gesamtmaische</v>
      </c>
      <c r="AL37" s="666"/>
      <c r="AM37" s="666"/>
      <c r="AN37" s="663"/>
      <c r="AO37" s="663"/>
      <c r="AP37" s="695" t="str">
        <f>IF(ISBLANK(AP29),"",AP29)</f>
        <v/>
      </c>
      <c r="AQ37" s="657" t="s">
        <v>823</v>
      </c>
      <c r="AT37" s="257"/>
      <c r="AU37" s="259"/>
    </row>
    <row r="38" spans="2:47" ht="14.25" hidden="1" customHeight="1" outlineLevel="1">
      <c r="B38" s="10"/>
      <c r="C38" s="34"/>
      <c r="D38" s="1002" t="str">
        <f>'3_rezeptkarte'!P40</f>
        <v>Rast</v>
      </c>
      <c r="E38" s="1002"/>
      <c r="F38" s="1002"/>
      <c r="G38" s="1002"/>
      <c r="H38" s="1002"/>
      <c r="I38" s="1002"/>
      <c r="J38" s="1002"/>
      <c r="K38" s="30"/>
      <c r="L38" s="3" t="s">
        <v>1136</v>
      </c>
      <c r="M38" s="1056"/>
      <c r="N38" s="1056"/>
      <c r="O38" s="24" t="s">
        <v>818</v>
      </c>
      <c r="P38" s="533"/>
      <c r="Q38" s="1062"/>
      <c r="R38" s="1063"/>
      <c r="S38" s="24" t="s">
        <v>3</v>
      </c>
      <c r="T38" s="19"/>
      <c r="U38" s="3" t="s">
        <v>11</v>
      </c>
      <c r="V38" s="1003" t="str">
        <f>IF(D38="Rast","0",IF(D38="-","",'3_rezeptkarte'!D40))</f>
        <v>0</v>
      </c>
      <c r="W38" s="1003"/>
      <c r="X38" s="24" t="s">
        <v>4</v>
      </c>
      <c r="Y38" s="19"/>
      <c r="Z38" s="3" t="s">
        <v>40</v>
      </c>
      <c r="AA38" s="685">
        <f>IF(ISBLANK('3_rezeptkarte'!AR40),"",'3_rezeptkarte'!AR40)</f>
        <v>0</v>
      </c>
      <c r="AB38" s="24" t="s">
        <v>62</v>
      </c>
      <c r="AC38" s="654"/>
      <c r="AD38" s="1058"/>
      <c r="AE38" s="1058"/>
      <c r="AF38" s="688" t="s">
        <v>827</v>
      </c>
      <c r="AG38" s="691" t="str">
        <f>IF(ISERROR((V39*($V$24+'3_rezeptkarte'!M13+$AD$26+$AD$27+$AD$28+AD37+AD38)*AP39-($V$24+'3_rezeptkarte'!M13+$AD$26+$AD$27+$AD$28+AD37)*AP38*(V38+AP18))/(AD38*$AP$20)),"",(V39*($V$24+'3_rezeptkarte'!M13+$AD$26+$AD$27+$AD$28+AD37+AD38)*AP39-($V$24+'3_rezeptkarte'!M13+$AD$26+$AD$27+$AD$28+AD37)*AP38*(V38+AP18))/(AD38*$AP$20))</f>
        <v/>
      </c>
      <c r="AH38" s="657" t="s">
        <v>4</v>
      </c>
      <c r="AI38" s="11"/>
      <c r="AK38" s="661" t="str">
        <f>CONCATENATE("spez. Wärmekapazität nach ",D38)</f>
        <v>spez. Wärmekapazität nach Rast</v>
      </c>
      <c r="AL38" s="666"/>
      <c r="AM38" s="666"/>
      <c r="AN38" s="663"/>
      <c r="AO38" s="663"/>
      <c r="AP38" s="696" t="str">
        <f>IF(ISERROR((($V$24+'3_rezeptkarte'!M13+$AD$26+$AD$27+$AD$28)*AP37+AD37*$AP$20)/(($V$24+'3_rezeptkarte'!M13+$AD$26+$AD$27+$AD$28+$AD$37))),"",(($V$24+'3_rezeptkarte'!M13+$AD$26+$AD$27+$AD$28)*AP37+AD37*$AP$20)/(($V$24+'3_rezeptkarte'!M13+$AD$26+$AD$27+$AD$28+$AD$37)))</f>
        <v/>
      </c>
      <c r="AQ38" s="657" t="s">
        <v>823</v>
      </c>
      <c r="AT38" s="257"/>
      <c r="AU38" s="259"/>
    </row>
    <row r="39" spans="2:47" ht="14.25" hidden="1" customHeight="1" outlineLevel="1">
      <c r="B39" s="10"/>
      <c r="C39" s="34"/>
      <c r="D39" s="1015" t="str">
        <f>'3_rezeptkarte'!P41</f>
        <v>Rast</v>
      </c>
      <c r="E39" s="1015"/>
      <c r="F39" s="1015"/>
      <c r="G39" s="1015"/>
      <c r="H39" s="1015"/>
      <c r="I39" s="1015"/>
      <c r="J39" s="1015"/>
      <c r="K39" s="30"/>
      <c r="L39" s="3" t="s">
        <v>1136</v>
      </c>
      <c r="M39" s="1056"/>
      <c r="N39" s="1056"/>
      <c r="O39" s="24" t="s">
        <v>818</v>
      </c>
      <c r="P39" s="533"/>
      <c r="Q39" s="1062"/>
      <c r="R39" s="1062"/>
      <c r="S39" s="24" t="s">
        <v>3</v>
      </c>
      <c r="T39" s="19"/>
      <c r="U39" s="3" t="s">
        <v>11</v>
      </c>
      <c r="V39" s="1003" t="str">
        <f>IF(D39="Rast","0",IF(D39="-","",'3_rezeptkarte'!D41))</f>
        <v>0</v>
      </c>
      <c r="W39" s="1003"/>
      <c r="X39" s="24" t="s">
        <v>4</v>
      </c>
      <c r="Y39" s="19"/>
      <c r="Z39" s="3" t="s">
        <v>40</v>
      </c>
      <c r="AA39" s="679">
        <f>IF(ISBLANK('3_rezeptkarte'!AR41),"",'3_rezeptkarte'!AR41)</f>
        <v>0</v>
      </c>
      <c r="AB39" s="24" t="s">
        <v>62</v>
      </c>
      <c r="AC39" s="654"/>
      <c r="AD39" s="1011">
        <f>AD29+AD37+AD38</f>
        <v>0</v>
      </c>
      <c r="AE39" s="1011"/>
      <c r="AF39" s="689" t="s">
        <v>830</v>
      </c>
      <c r="AG39" s="697"/>
      <c r="AH39" s="665"/>
      <c r="AI39" s="11"/>
      <c r="AK39" s="661" t="str">
        <f>CONCATENATE("spez. Wärmekapazität nach ",D39)</f>
        <v>spez. Wärmekapazität nach Rast</v>
      </c>
      <c r="AL39" s="666"/>
      <c r="AM39" s="666"/>
      <c r="AN39" s="663"/>
      <c r="AO39" s="663"/>
      <c r="AP39" s="696" t="str">
        <f>IF(ISERROR((($V$24+'3_rezeptkarte'!M13+$AD$26+$AD$27+$AD$28+$AD$37)*AP38+AD38*$AP$20)/(($V$24+'3_rezeptkarte'!M13+$AD$26+$AD$27+$AD$28+$AD$37+$AD$38))),"",(($V$24+'3_rezeptkarte'!M13+$AD$26+$AD$27+$AD$28+$AD$37)*AP38+AD38*$AP$20)/(($V$24+'3_rezeptkarte'!M13+$AD$26+$AD$27+$AD$28+$AD$37+$AD$38)))</f>
        <v/>
      </c>
      <c r="AQ39" s="657" t="s">
        <v>823</v>
      </c>
      <c r="AT39" s="257"/>
      <c r="AU39" s="259"/>
    </row>
    <row r="40" spans="2:47" s="9" customFormat="1" ht="2.25" hidden="1" customHeight="1" outlineLevel="1">
      <c r="B40" s="7"/>
      <c r="C40" s="208"/>
      <c r="M40" s="120"/>
      <c r="N40" s="120"/>
      <c r="Q40" s="120"/>
      <c r="R40" s="120"/>
      <c r="AC40" s="653"/>
      <c r="AD40" s="653"/>
      <c r="AE40" s="653"/>
      <c r="AF40" s="653"/>
      <c r="AG40" s="653"/>
      <c r="AH40" s="657"/>
      <c r="AI40" s="8"/>
      <c r="AK40" s="661"/>
      <c r="AL40" s="653"/>
      <c r="AM40" s="653"/>
      <c r="AN40" s="653"/>
      <c r="AO40" s="653"/>
      <c r="AP40" s="653"/>
      <c r="AQ40" s="657"/>
      <c r="AT40" s="257"/>
      <c r="AU40" s="259"/>
    </row>
    <row r="41" spans="2:47" ht="14.25" hidden="1" customHeight="1" outlineLevel="1">
      <c r="B41" s="10"/>
      <c r="C41" s="34"/>
      <c r="D41" s="16" t="str">
        <f>'3_rezeptkarte'!D43</f>
        <v xml:space="preserve">  2. Kochmaische ziehen</v>
      </c>
      <c r="E41" s="418"/>
      <c r="F41" s="418"/>
      <c r="G41" s="418"/>
      <c r="H41" s="418"/>
      <c r="I41" s="418"/>
      <c r="J41" s="18"/>
      <c r="K41" s="30"/>
      <c r="L41" s="3" t="s">
        <v>230</v>
      </c>
      <c r="M41" s="1045"/>
      <c r="N41" s="1045"/>
      <c r="O41" s="24" t="s">
        <v>3</v>
      </c>
      <c r="P41" s="533"/>
      <c r="Q41" s="1018"/>
      <c r="R41" s="1018"/>
      <c r="S41" s="24" t="s">
        <v>1</v>
      </c>
      <c r="T41" s="24"/>
      <c r="U41" s="19"/>
      <c r="V41" s="1002" t="str">
        <f>'3_rezeptkarte'!L43</f>
        <v>wählen</v>
      </c>
      <c r="W41" s="1002"/>
      <c r="X41" s="1002"/>
      <c r="Y41" s="1002"/>
      <c r="Z41" s="1002"/>
      <c r="AA41" s="24"/>
      <c r="AB41" s="686">
        <f>'3_rezeptkarte'!R43</f>
        <v>0</v>
      </c>
      <c r="AC41" s="575" t="s">
        <v>5</v>
      </c>
      <c r="AD41" s="427"/>
      <c r="AE41" s="427"/>
      <c r="AF41" s="427"/>
      <c r="AG41" s="534"/>
      <c r="AH41" s="42"/>
      <c r="AI41" s="11"/>
      <c r="AK41" s="430"/>
      <c r="AL41" s="158"/>
      <c r="AM41" s="158"/>
      <c r="AN41" s="158"/>
      <c r="AO41" s="158"/>
      <c r="AP41" s="158"/>
      <c r="AQ41" s="431"/>
      <c r="AT41" s="257"/>
      <c r="AU41" s="259"/>
    </row>
    <row r="42" spans="2:47" s="9" customFormat="1" ht="2.25" hidden="1" customHeight="1" outlineLevel="1">
      <c r="B42" s="7"/>
      <c r="C42" s="208"/>
      <c r="M42" s="120"/>
      <c r="N42" s="120"/>
      <c r="Q42" s="120"/>
      <c r="R42" s="120"/>
      <c r="AH42" s="209"/>
      <c r="AI42" s="8"/>
      <c r="AK42" s="432"/>
      <c r="AL42" s="426"/>
      <c r="AM42" s="426"/>
      <c r="AN42" s="426"/>
      <c r="AO42" s="426"/>
      <c r="AP42" s="426"/>
      <c r="AQ42" s="433"/>
      <c r="AT42" s="257"/>
      <c r="AU42" s="259"/>
    </row>
    <row r="43" spans="2:47" ht="14.25" hidden="1" customHeight="1" outlineLevel="1">
      <c r="B43" s="10"/>
      <c r="C43" s="34"/>
      <c r="D43" s="1002" t="str">
        <f>'3_rezeptkarte'!P44</f>
        <v>Rast</v>
      </c>
      <c r="E43" s="1002"/>
      <c r="F43" s="1002"/>
      <c r="G43" s="1002"/>
      <c r="H43" s="1002"/>
      <c r="I43" s="1002"/>
      <c r="J43" s="1002"/>
      <c r="K43" s="30"/>
      <c r="L43" s="3" t="s">
        <v>1136</v>
      </c>
      <c r="M43" s="1059"/>
      <c r="N43" s="1059"/>
      <c r="O43" s="24" t="s">
        <v>818</v>
      </c>
      <c r="P43" s="533"/>
      <c r="Q43" s="1060"/>
      <c r="R43" s="1060"/>
      <c r="S43" s="24" t="s">
        <v>3</v>
      </c>
      <c r="T43" s="19"/>
      <c r="U43" s="3"/>
      <c r="V43" s="1014" t="str">
        <f>IF(D43="Rast","0",IF(D43="-","",'3_rezeptkarte'!D44))</f>
        <v>0</v>
      </c>
      <c r="W43" s="1014"/>
      <c r="X43" s="24" t="s">
        <v>4</v>
      </c>
      <c r="Y43" s="19"/>
      <c r="Z43" s="3" t="s">
        <v>40</v>
      </c>
      <c r="AA43" s="685">
        <f>IF(ISBLANK('3_rezeptkarte'!AR44),"",'3_rezeptkarte'!AR44)</f>
        <v>0</v>
      </c>
      <c r="AB43" s="24" t="s">
        <v>62</v>
      </c>
      <c r="AC43" s="24"/>
      <c r="AD43" s="24"/>
      <c r="AE43" s="24"/>
      <c r="AF43" s="24"/>
      <c r="AG43" s="534"/>
      <c r="AH43" s="42"/>
      <c r="AI43" s="11"/>
      <c r="AK43" s="430"/>
      <c r="AL43" s="158"/>
      <c r="AM43" s="158"/>
      <c r="AN43" s="158"/>
      <c r="AO43" s="158"/>
      <c r="AP43" s="158"/>
      <c r="AQ43" s="431"/>
      <c r="AT43" s="257"/>
      <c r="AU43" s="259"/>
    </row>
    <row r="44" spans="2:47" ht="14.25" hidden="1" customHeight="1" outlineLevel="1">
      <c r="B44" s="10"/>
      <c r="C44" s="34"/>
      <c r="D44" s="1015" t="str">
        <f>'3_rezeptkarte'!P45</f>
        <v>Rast</v>
      </c>
      <c r="E44" s="1015"/>
      <c r="F44" s="1015"/>
      <c r="G44" s="1015"/>
      <c r="H44" s="1015"/>
      <c r="I44" s="1015"/>
      <c r="J44" s="1015"/>
      <c r="K44" s="30"/>
      <c r="L44" s="3" t="s">
        <v>1136</v>
      </c>
      <c r="M44" s="1061"/>
      <c r="N44" s="1061"/>
      <c r="O44" s="24" t="s">
        <v>818</v>
      </c>
      <c r="P44" s="533"/>
      <c r="Q44" s="1062"/>
      <c r="R44" s="1062"/>
      <c r="S44" s="24" t="s">
        <v>3</v>
      </c>
      <c r="T44" s="19"/>
      <c r="U44" s="3"/>
      <c r="V44" s="1003" t="str">
        <f>IF(D44="Rast","0",IF(D44="-","",'3_rezeptkarte'!D45))</f>
        <v>0</v>
      </c>
      <c r="W44" s="1003"/>
      <c r="X44" s="24" t="s">
        <v>4</v>
      </c>
      <c r="Y44" s="19"/>
      <c r="Z44" s="3" t="s">
        <v>40</v>
      </c>
      <c r="AA44" s="685">
        <f>IF(ISBLANK('3_rezeptkarte'!AR45),"",'3_rezeptkarte'!AR45)</f>
        <v>0</v>
      </c>
      <c r="AB44" s="24" t="s">
        <v>62</v>
      </c>
      <c r="AC44" s="24"/>
      <c r="AD44" s="24"/>
      <c r="AE44" s="24"/>
      <c r="AF44" s="24"/>
      <c r="AG44" s="534"/>
      <c r="AH44" s="42"/>
      <c r="AI44" s="11"/>
      <c r="AK44" s="430"/>
      <c r="AL44" s="437"/>
      <c r="AM44" s="158"/>
      <c r="AN44" s="158"/>
      <c r="AO44" s="158"/>
      <c r="AP44" s="158"/>
      <c r="AQ44" s="431"/>
      <c r="AT44" s="257"/>
      <c r="AU44" s="259"/>
    </row>
    <row r="45" spans="2:47" ht="14.25" hidden="1" customHeight="1" outlineLevel="1">
      <c r="B45" s="10"/>
      <c r="C45" s="34"/>
      <c r="D45" s="1015" t="str">
        <f>'3_rezeptkarte'!P46</f>
        <v>Rast</v>
      </c>
      <c r="E45" s="1015"/>
      <c r="F45" s="1015"/>
      <c r="G45" s="1015"/>
      <c r="H45" s="1015"/>
      <c r="I45" s="1015"/>
      <c r="J45" s="1015"/>
      <c r="K45" s="30"/>
      <c r="L45" s="3" t="s">
        <v>1136</v>
      </c>
      <c r="M45" s="1061"/>
      <c r="N45" s="1061"/>
      <c r="O45" s="24" t="s">
        <v>818</v>
      </c>
      <c r="P45" s="533"/>
      <c r="Q45" s="1062"/>
      <c r="R45" s="1062"/>
      <c r="S45" s="24" t="s">
        <v>3</v>
      </c>
      <c r="T45" s="19"/>
      <c r="U45" s="3"/>
      <c r="V45" s="1003" t="str">
        <f>IF(D45="Rast","0",IF(D45="-","",'3_rezeptkarte'!D46))</f>
        <v>0</v>
      </c>
      <c r="W45" s="1003"/>
      <c r="X45" s="24" t="s">
        <v>4</v>
      </c>
      <c r="Y45" s="19"/>
      <c r="Z45" s="3" t="s">
        <v>40</v>
      </c>
      <c r="AA45" s="685">
        <f>IF(ISBLANK('3_rezeptkarte'!AR46),"",'3_rezeptkarte'!AR46)</f>
        <v>0</v>
      </c>
      <c r="AB45" s="24" t="s">
        <v>62</v>
      </c>
      <c r="AC45" s="24"/>
      <c r="AD45" s="24"/>
      <c r="AE45" s="24"/>
      <c r="AF45" s="24"/>
      <c r="AG45" s="534"/>
      <c r="AH45" s="42"/>
      <c r="AI45" s="11"/>
      <c r="AK45" s="430"/>
      <c r="AL45" s="158"/>
      <c r="AM45" s="158"/>
      <c r="AN45" s="158"/>
      <c r="AO45" s="158"/>
      <c r="AP45" s="158"/>
      <c r="AQ45" s="431"/>
      <c r="AT45" s="257"/>
      <c r="AU45" s="259"/>
    </row>
    <row r="46" spans="2:47" s="9" customFormat="1" ht="2.25" hidden="1" customHeight="1" outlineLevel="1">
      <c r="B46" s="7"/>
      <c r="C46" s="208"/>
      <c r="M46" s="120"/>
      <c r="N46" s="120"/>
      <c r="Q46" s="120"/>
      <c r="R46" s="120"/>
      <c r="V46" s="429"/>
      <c r="W46" s="429"/>
      <c r="AC46" s="653"/>
      <c r="AD46" s="653"/>
      <c r="AE46" s="653"/>
      <c r="AF46" s="653"/>
      <c r="AG46" s="653"/>
      <c r="AH46" s="657"/>
      <c r="AI46" s="8"/>
      <c r="AK46" s="661"/>
      <c r="AL46" s="653"/>
      <c r="AM46" s="653"/>
      <c r="AN46" s="653"/>
      <c r="AO46" s="653"/>
      <c r="AP46" s="653"/>
      <c r="AQ46" s="657"/>
      <c r="AT46" s="257"/>
      <c r="AU46" s="259"/>
    </row>
    <row r="47" spans="2:47" ht="14.25" hidden="1" customHeight="1" outlineLevel="1">
      <c r="B47" s="10"/>
      <c r="C47" s="34"/>
      <c r="D47" s="16" t="s">
        <v>820</v>
      </c>
      <c r="E47" s="418"/>
      <c r="F47" s="418"/>
      <c r="G47" s="418"/>
      <c r="H47" s="418"/>
      <c r="I47" s="418"/>
      <c r="J47" s="18"/>
      <c r="K47" s="30"/>
      <c r="L47" s="3" t="s">
        <v>817</v>
      </c>
      <c r="M47" s="1045"/>
      <c r="N47" s="1045"/>
      <c r="O47" s="24" t="s">
        <v>3</v>
      </c>
      <c r="P47" s="533"/>
      <c r="Q47" s="1047"/>
      <c r="R47" s="1047"/>
      <c r="S47" s="24" t="s">
        <v>1</v>
      </c>
      <c r="T47" s="19"/>
      <c r="U47" s="3" t="s">
        <v>8</v>
      </c>
      <c r="V47" s="1057"/>
      <c r="W47" s="1057"/>
      <c r="X47" s="24" t="s">
        <v>4</v>
      </c>
      <c r="Y47" s="19"/>
      <c r="Z47" s="3"/>
      <c r="AA47" s="19"/>
      <c r="AB47" s="3"/>
      <c r="AC47" s="654"/>
      <c r="AD47" s="1058"/>
      <c r="AE47" s="1058"/>
      <c r="AF47" s="688" t="s">
        <v>827</v>
      </c>
      <c r="AG47" s="690" t="str">
        <f>IF(ISERROR((V48*($V$24+'3_rezeptkarte'!M13+$AD$26+$AD$27+$AD$28+$AD$37+$AD$38)*AP48-($V$24+'3_rezeptkarte'!M13+$AD$26+$AD$27+$AD$28+$AD$38)*AP47*(V47+AP27))/(AD47*$AP$20)),"",(V48*($V$24+'3_rezeptkarte'!M13+$AD$26+$AD$27+$AD$28+$AD$37+$AD$38)*AP48-($V$24+'3_rezeptkarte'!M13+$AD$26+$AD$27+$AD$28+$AD$38)*AP47*(V47+AP27))/(AD47*$AP$20))</f>
        <v/>
      </c>
      <c r="AH47" s="667" t="s">
        <v>4</v>
      </c>
      <c r="AI47" s="11"/>
      <c r="AK47" s="661" t="str">
        <f>CONCATENATE("spez. Wärmekapazität nach ",D47)</f>
        <v>spez. Wärmekapazität nach Gesamtmaische</v>
      </c>
      <c r="AL47" s="666"/>
      <c r="AM47" s="666"/>
      <c r="AN47" s="663"/>
      <c r="AO47" s="663"/>
      <c r="AP47" s="695" t="str">
        <f>IF(ISBLANK(AP39),"",AP39)</f>
        <v/>
      </c>
      <c r="AQ47" s="657" t="s">
        <v>823</v>
      </c>
      <c r="AT47" s="257"/>
      <c r="AU47" s="259"/>
    </row>
    <row r="48" spans="2:47" ht="14.25" customHeight="1" collapsed="1">
      <c r="B48" s="10"/>
      <c r="C48" s="34"/>
      <c r="D48" s="1002" t="str">
        <f>'3_rezeptkarte'!P48</f>
        <v>Rast</v>
      </c>
      <c r="E48" s="1002"/>
      <c r="F48" s="1002"/>
      <c r="G48" s="1002"/>
      <c r="H48" s="1002"/>
      <c r="I48" s="1002"/>
      <c r="J48" s="1002"/>
      <c r="K48" s="30"/>
      <c r="L48" s="3" t="s">
        <v>1136</v>
      </c>
      <c r="M48" s="1059"/>
      <c r="N48" s="1059"/>
      <c r="O48" s="24" t="s">
        <v>818</v>
      </c>
      <c r="P48" s="533"/>
      <c r="Q48" s="1060"/>
      <c r="R48" s="1060"/>
      <c r="S48" s="24" t="s">
        <v>3</v>
      </c>
      <c r="T48" s="19"/>
      <c r="U48" s="3"/>
      <c r="V48" s="1014" t="str">
        <f>IF(D48="Rast","0",IF(D48="-","",'3_rezeptkarte'!D48))</f>
        <v>0</v>
      </c>
      <c r="W48" s="1014"/>
      <c r="X48" s="24" t="s">
        <v>4</v>
      </c>
      <c r="Y48" s="19"/>
      <c r="Z48" s="3" t="s">
        <v>40</v>
      </c>
      <c r="AA48" s="685">
        <f>IF(ISBLANK('3_rezeptkarte'!AR48),"",'3_rezeptkarte'!AR48)</f>
        <v>0</v>
      </c>
      <c r="AB48" s="24" t="s">
        <v>62</v>
      </c>
      <c r="AC48" s="654"/>
      <c r="AD48" s="1011">
        <f>AD39+AD47</f>
        <v>0</v>
      </c>
      <c r="AE48" s="1011"/>
      <c r="AF48" s="689" t="s">
        <v>830</v>
      </c>
      <c r="AG48" s="697"/>
      <c r="AH48" s="665"/>
      <c r="AI48" s="11"/>
      <c r="AK48" s="661" t="str">
        <f>CONCATENATE("spez. Wärmekapazität nach ",D48)</f>
        <v>spez. Wärmekapazität nach Rast</v>
      </c>
      <c r="AL48" s="651"/>
      <c r="AM48" s="651"/>
      <c r="AN48" s="651"/>
      <c r="AO48" s="651"/>
      <c r="AP48" s="695" t="str">
        <f>IF(ISERROR((($V$24+'3_rezeptkarte'!M13+$AD$26+$AD$27+$AD$28+$AD$37+$AD$38)*AP47+AD47*$AP$20)/(($V$24+'3_rezeptkarte'!M13+$AD$26+$AD$27+$AD$28+$AD$37+$AD$38+$AD$47))),"",(($V$24+'3_rezeptkarte'!M13+$AD$26+$AD$27+$AD$28+$AD$37+$AD$38)*AP47+AD47*$AP$20)/(($V$24+'3_rezeptkarte'!M13+$AD$26+$AD$27+$AD$28+$AD$37+$AD$38+$AD$47)))</f>
        <v/>
      </c>
      <c r="AQ48" s="657" t="s">
        <v>823</v>
      </c>
      <c r="AT48" s="257"/>
      <c r="AU48" s="259"/>
    </row>
    <row r="49" spans="2:47" ht="2.25" customHeight="1">
      <c r="B49" s="10"/>
      <c r="C49" s="36"/>
      <c r="D49" s="20"/>
      <c r="E49" s="20"/>
      <c r="F49" s="20"/>
      <c r="G49" s="20"/>
      <c r="H49" s="20"/>
      <c r="I49" s="20"/>
      <c r="J49" s="20"/>
      <c r="K49" s="20"/>
      <c r="L49" s="205"/>
      <c r="M49" s="20"/>
      <c r="N49" s="20"/>
      <c r="O49" s="20"/>
      <c r="P49" s="205"/>
      <c r="Q49" s="205"/>
      <c r="R49" s="20"/>
      <c r="S49" s="20"/>
      <c r="T49" s="20"/>
      <c r="U49" s="20"/>
      <c r="V49" s="20"/>
      <c r="W49" s="20"/>
      <c r="X49" s="20"/>
      <c r="Y49" s="206"/>
      <c r="Z49" s="206"/>
      <c r="AA49" s="206"/>
      <c r="AB49" s="206"/>
      <c r="AC49" s="668"/>
      <c r="AD49" s="668"/>
      <c r="AE49" s="668"/>
      <c r="AF49" s="668"/>
      <c r="AG49" s="668"/>
      <c r="AH49" s="669"/>
      <c r="AI49" s="11"/>
      <c r="AK49" s="670"/>
      <c r="AL49" s="671"/>
      <c r="AM49" s="671"/>
      <c r="AN49" s="671"/>
      <c r="AO49" s="671"/>
      <c r="AP49" s="671"/>
      <c r="AQ49" s="672"/>
      <c r="AT49" s="257"/>
      <c r="AU49" s="259"/>
    </row>
    <row r="50" spans="2:47" ht="2.25" customHeight="1">
      <c r="B50" s="10"/>
      <c r="J50" s="3"/>
      <c r="AI50" s="11"/>
      <c r="AT50" s="257"/>
      <c r="AU50" s="259"/>
    </row>
    <row r="51" spans="2:47" ht="14.25" customHeight="1">
      <c r="B51" s="10"/>
      <c r="C51" s="31"/>
      <c r="D51" s="39" t="s">
        <v>278</v>
      </c>
      <c r="E51" s="32"/>
      <c r="F51" s="32"/>
      <c r="G51" s="32"/>
      <c r="H51" s="32"/>
      <c r="I51" s="32"/>
      <c r="J51" s="32"/>
      <c r="K51" s="32"/>
      <c r="L51" s="32"/>
      <c r="M51" s="32"/>
      <c r="N51" s="32"/>
      <c r="O51" s="32"/>
      <c r="P51" s="32"/>
      <c r="Q51" s="33"/>
      <c r="R51" s="34"/>
      <c r="S51" s="153" t="s">
        <v>279</v>
      </c>
      <c r="T51" s="32"/>
      <c r="U51" s="32"/>
      <c r="V51" s="32"/>
      <c r="W51" s="32"/>
      <c r="X51" s="32"/>
      <c r="Y51" s="32"/>
      <c r="Z51" s="32"/>
      <c r="AA51" s="32"/>
      <c r="AB51" s="32"/>
      <c r="AC51" s="32"/>
      <c r="AD51" s="32"/>
      <c r="AE51" s="32"/>
      <c r="AF51" s="32"/>
      <c r="AG51" s="32"/>
      <c r="AH51" s="33"/>
      <c r="AI51" s="11"/>
      <c r="AT51" s="257"/>
      <c r="AU51" s="259"/>
    </row>
    <row r="52" spans="2:47" ht="14.25" customHeight="1">
      <c r="B52" s="10"/>
      <c r="C52" s="34"/>
      <c r="D52" s="3" t="s">
        <v>159</v>
      </c>
      <c r="E52" s="1045"/>
      <c r="F52" s="1045"/>
      <c r="G52" s="2" t="s">
        <v>3</v>
      </c>
      <c r="I52" s="1047"/>
      <c r="J52" s="1047"/>
      <c r="K52" s="2" t="s">
        <v>1</v>
      </c>
      <c r="Q52" s="35"/>
      <c r="R52" s="34"/>
      <c r="S52" s="34"/>
      <c r="T52" s="3" t="s">
        <v>158</v>
      </c>
      <c r="U52" s="1045"/>
      <c r="V52" s="1045"/>
      <c r="W52" s="2" t="s">
        <v>160</v>
      </c>
      <c r="Y52" s="1049"/>
      <c r="Z52" s="1049"/>
      <c r="AA52" s="2" t="s">
        <v>3</v>
      </c>
      <c r="AC52" s="3"/>
      <c r="AD52" s="3" t="s">
        <v>26</v>
      </c>
      <c r="AE52" s="1057"/>
      <c r="AF52" s="1057"/>
      <c r="AG52" s="2" t="s">
        <v>62</v>
      </c>
      <c r="AH52" s="35"/>
      <c r="AI52" s="11"/>
      <c r="AT52" s="257">
        <f>AE52/1440</f>
        <v>0</v>
      </c>
      <c r="AU52" s="259"/>
    </row>
    <row r="53" spans="2:47" ht="2.25" customHeight="1">
      <c r="B53" s="10"/>
      <c r="C53" s="36"/>
      <c r="D53" s="20"/>
      <c r="E53" s="20"/>
      <c r="F53" s="20"/>
      <c r="G53" s="20"/>
      <c r="H53" s="20"/>
      <c r="I53" s="20"/>
      <c r="J53" s="20"/>
      <c r="K53" s="20"/>
      <c r="L53" s="20"/>
      <c r="M53" s="20"/>
      <c r="N53" s="20"/>
      <c r="O53" s="20"/>
      <c r="P53" s="20"/>
      <c r="Q53" s="37"/>
      <c r="R53" s="34"/>
      <c r="S53" s="36"/>
      <c r="T53" s="20"/>
      <c r="U53" s="20"/>
      <c r="V53" s="20"/>
      <c r="W53" s="20"/>
      <c r="X53" s="20"/>
      <c r="Y53" s="20"/>
      <c r="Z53" s="20"/>
      <c r="AA53" s="20"/>
      <c r="AB53" s="20"/>
      <c r="AC53" s="20"/>
      <c r="AD53" s="20"/>
      <c r="AE53" s="20"/>
      <c r="AF53" s="20"/>
      <c r="AG53" s="20"/>
      <c r="AH53" s="37"/>
      <c r="AI53" s="11"/>
      <c r="AT53" s="257"/>
      <c r="AU53" s="259"/>
    </row>
    <row r="54" spans="2:47" ht="2.25" customHeight="1">
      <c r="B54" s="10"/>
      <c r="AI54" s="11"/>
      <c r="AT54" s="257"/>
      <c r="AU54" s="259"/>
    </row>
    <row r="55" spans="2:47" ht="2.25" customHeight="1">
      <c r="B55" s="10"/>
      <c r="C55" s="31"/>
      <c r="D55" s="1037" t="s">
        <v>280</v>
      </c>
      <c r="E55" s="1037"/>
      <c r="F55" s="1037"/>
      <c r="G55" s="1037"/>
      <c r="H55" s="1037"/>
      <c r="I55" s="32"/>
      <c r="J55" s="32"/>
      <c r="K55" s="32"/>
      <c r="L55" s="32"/>
      <c r="M55" s="32"/>
      <c r="N55" s="32"/>
      <c r="O55" s="32"/>
      <c r="P55" s="32"/>
      <c r="Q55" s="32"/>
      <c r="R55" s="32"/>
      <c r="S55" s="703"/>
      <c r="T55" s="704"/>
      <c r="U55" s="704"/>
      <c r="V55" s="704"/>
      <c r="W55" s="704"/>
      <c r="X55" s="704"/>
      <c r="Y55" s="704"/>
      <c r="Z55" s="704"/>
      <c r="AA55" s="704"/>
      <c r="AB55" s="704"/>
      <c r="AC55" s="704"/>
      <c r="AD55" s="704"/>
      <c r="AE55" s="704"/>
      <c r="AF55" s="704"/>
      <c r="AG55" s="704"/>
      <c r="AH55" s="705"/>
      <c r="AI55" s="11"/>
      <c r="AT55" s="257"/>
      <c r="AU55" s="259"/>
    </row>
    <row r="56" spans="2:47" ht="14.25" customHeight="1">
      <c r="B56" s="10"/>
      <c r="C56" s="34"/>
      <c r="D56" s="1038"/>
      <c r="E56" s="1038"/>
      <c r="F56" s="1038"/>
      <c r="G56" s="1038"/>
      <c r="H56" s="1038"/>
      <c r="I56" s="831"/>
      <c r="J56" s="831"/>
      <c r="K56" s="831"/>
      <c r="N56" s="831"/>
      <c r="S56" s="530" t="s">
        <v>21</v>
      </c>
      <c r="T56" s="797"/>
      <c r="U56" s="797"/>
      <c r="V56" s="651"/>
      <c r="W56" s="651"/>
      <c r="X56" s="651"/>
      <c r="Y56" s="651"/>
      <c r="Z56" s="651"/>
      <c r="AA56" s="651"/>
      <c r="AB56" s="798" t="s">
        <v>30</v>
      </c>
      <c r="AC56" s="1007" t="str">
        <f>IF(ISERROR(IF(X59&lt;15,O12*0.7,IF(X59=15,O12,IF(AND(X59&gt;15,X59&lt;17),O12,IF(X59=17,O12,IF(X59&gt;17,O12*1.2)))))),"",IF(X59&lt;15,O12*0.7,IF(X59=15,O12,IF(AND(X59&gt;15,X59&lt;17),O12,IF(X59=17,O12,IF(X59&gt;17,O12*1.2))))))</f>
        <v/>
      </c>
      <c r="AD56" s="1008"/>
      <c r="AE56" s="1009"/>
      <c r="AF56" s="651" t="s">
        <v>1</v>
      </c>
      <c r="AG56" s="651"/>
      <c r="AH56" s="656"/>
      <c r="AI56" s="11"/>
      <c r="AT56" s="257"/>
      <c r="AU56" s="259"/>
    </row>
    <row r="57" spans="2:47" ht="1.95" customHeight="1">
      <c r="B57" s="10"/>
      <c r="C57" s="34"/>
      <c r="S57" s="670"/>
      <c r="T57" s="671"/>
      <c r="U57" s="671"/>
      <c r="V57" s="671"/>
      <c r="W57" s="671"/>
      <c r="X57" s="671"/>
      <c r="Y57" s="671"/>
      <c r="Z57" s="671"/>
      <c r="AA57" s="671"/>
      <c r="AB57" s="671"/>
      <c r="AC57" s="671"/>
      <c r="AD57" s="671"/>
      <c r="AE57" s="671"/>
      <c r="AF57" s="671"/>
      <c r="AG57" s="671"/>
      <c r="AH57" s="672"/>
      <c r="AI57" s="11"/>
      <c r="AT57" s="257"/>
      <c r="AU57" s="259"/>
    </row>
    <row r="58" spans="2:47" ht="1.95" customHeight="1">
      <c r="B58" s="10"/>
      <c r="C58" s="34"/>
      <c r="AH58" s="35"/>
      <c r="AI58" s="11"/>
      <c r="AT58" s="257"/>
      <c r="AU58" s="259"/>
    </row>
    <row r="59" spans="2:47" ht="14.25" customHeight="1">
      <c r="B59" s="10"/>
      <c r="C59" s="34"/>
      <c r="I59" s="3" t="s">
        <v>28</v>
      </c>
      <c r="J59" s="1045"/>
      <c r="K59" s="1045"/>
      <c r="L59" s="2" t="s">
        <v>3</v>
      </c>
      <c r="N59" s="3" t="s">
        <v>10</v>
      </c>
      <c r="O59" s="1045"/>
      <c r="P59" s="1045"/>
      <c r="Q59" s="2" t="s">
        <v>3</v>
      </c>
      <c r="S59" s="1047"/>
      <c r="T59" s="1047"/>
      <c r="U59" s="2" t="s">
        <v>38</v>
      </c>
      <c r="W59" s="536" t="s">
        <v>242</v>
      </c>
      <c r="X59" s="1018"/>
      <c r="Y59" s="1018"/>
      <c r="Z59" s="2" t="s">
        <v>39</v>
      </c>
      <c r="AA59" s="3"/>
      <c r="AB59" s="3" t="s">
        <v>6</v>
      </c>
      <c r="AC59" s="1047"/>
      <c r="AD59" s="1047"/>
      <c r="AE59" s="1047"/>
      <c r="AF59" s="2" t="s">
        <v>1</v>
      </c>
      <c r="AH59" s="35"/>
      <c r="AI59" s="11"/>
      <c r="AT59" s="257"/>
      <c r="AU59" s="259"/>
    </row>
    <row r="60" spans="2:47" ht="14.25" customHeight="1">
      <c r="B60" s="10"/>
      <c r="C60" s="34"/>
      <c r="I60" s="3" t="s">
        <v>245</v>
      </c>
      <c r="J60" s="1056"/>
      <c r="K60" s="1056"/>
      <c r="L60" s="2" t="s">
        <v>3</v>
      </c>
      <c r="N60" s="3" t="s">
        <v>10</v>
      </c>
      <c r="O60" s="1045"/>
      <c r="P60" s="1045"/>
      <c r="Q60" s="2" t="s">
        <v>3</v>
      </c>
      <c r="AA60" s="3"/>
      <c r="AB60" s="3" t="s">
        <v>6</v>
      </c>
      <c r="AC60" s="1048"/>
      <c r="AD60" s="1048"/>
      <c r="AE60" s="1048"/>
      <c r="AF60" s="2" t="s">
        <v>1</v>
      </c>
      <c r="AH60" s="35"/>
      <c r="AI60" s="11"/>
      <c r="AT60" s="257"/>
      <c r="AU60" s="259"/>
    </row>
    <row r="61" spans="2:47" ht="1.95" customHeight="1">
      <c r="B61" s="10"/>
      <c r="C61" s="34"/>
      <c r="H61" s="3"/>
      <c r="I61" s="562"/>
      <c r="J61" s="562"/>
      <c r="K61" s="158"/>
      <c r="L61" s="158"/>
      <c r="M61" s="163"/>
      <c r="N61" s="562"/>
      <c r="O61" s="562"/>
      <c r="AA61" s="3"/>
      <c r="AB61" s="3"/>
      <c r="AC61" s="698"/>
      <c r="AD61" s="698"/>
      <c r="AE61" s="698"/>
      <c r="AF61" s="20"/>
      <c r="AG61" s="20"/>
      <c r="AH61" s="35"/>
      <c r="AI61" s="11"/>
      <c r="AT61" s="257"/>
      <c r="AU61" s="259"/>
    </row>
    <row r="62" spans="2:47" ht="1.95" customHeight="1">
      <c r="B62" s="10"/>
      <c r="C62" s="34"/>
      <c r="H62" s="3"/>
      <c r="I62" s="562"/>
      <c r="J62" s="562"/>
      <c r="K62" s="158"/>
      <c r="L62" s="158"/>
      <c r="M62" s="163"/>
      <c r="N62" s="562"/>
      <c r="O62" s="562"/>
      <c r="AA62" s="3"/>
      <c r="AB62" s="3"/>
      <c r="AC62" s="563"/>
      <c r="AD62" s="563"/>
      <c r="AE62" s="563"/>
      <c r="AH62" s="35"/>
      <c r="AI62" s="11"/>
      <c r="AT62" s="257"/>
      <c r="AU62" s="259"/>
    </row>
    <row r="63" spans="2:47" ht="14.25" customHeight="1">
      <c r="B63" s="10"/>
      <c r="C63" s="34"/>
      <c r="R63" s="3" t="s">
        <v>7</v>
      </c>
      <c r="S63" s="1047"/>
      <c r="T63" s="1047"/>
      <c r="U63" s="2" t="s">
        <v>38</v>
      </c>
      <c r="W63" s="536" t="s">
        <v>242</v>
      </c>
      <c r="X63" s="1018"/>
      <c r="Y63" s="1018"/>
      <c r="Z63" s="2" t="s">
        <v>39</v>
      </c>
      <c r="AA63" s="3"/>
      <c r="AB63" s="3" t="s">
        <v>6</v>
      </c>
      <c r="AC63" s="1055"/>
      <c r="AD63" s="1055"/>
      <c r="AE63" s="1055"/>
      <c r="AF63" s="2" t="s">
        <v>1</v>
      </c>
      <c r="AH63" s="35"/>
      <c r="AI63" s="11"/>
      <c r="AT63" s="257"/>
      <c r="AU63" s="259"/>
    </row>
    <row r="64" spans="2:47" ht="1.95" customHeight="1">
      <c r="B64" s="10"/>
      <c r="C64" s="36"/>
      <c r="D64" s="20"/>
      <c r="E64" s="20"/>
      <c r="F64" s="20"/>
      <c r="G64" s="20"/>
      <c r="H64" s="20"/>
      <c r="I64" s="20"/>
      <c r="J64" s="20"/>
      <c r="K64" s="20"/>
      <c r="L64" s="205"/>
      <c r="M64" s="20"/>
      <c r="N64" s="20"/>
      <c r="O64" s="20"/>
      <c r="P64" s="205"/>
      <c r="Q64" s="205"/>
      <c r="R64" s="20"/>
      <c r="S64" s="20"/>
      <c r="T64" s="20"/>
      <c r="U64" s="20"/>
      <c r="V64" s="20"/>
      <c r="W64" s="20"/>
      <c r="X64" s="20"/>
      <c r="Y64" s="206"/>
      <c r="Z64" s="206"/>
      <c r="AA64" s="206"/>
      <c r="AB64" s="206"/>
      <c r="AC64" s="206"/>
      <c r="AD64" s="206"/>
      <c r="AE64" s="206"/>
      <c r="AF64" s="206"/>
      <c r="AG64" s="206"/>
      <c r="AH64" s="207"/>
      <c r="AI64" s="11"/>
      <c r="AT64" s="257"/>
      <c r="AU64" s="259"/>
    </row>
    <row r="65" spans="2:47" ht="1.95" customHeight="1">
      <c r="B65" s="10"/>
      <c r="AI65" s="11"/>
      <c r="AT65" s="257"/>
      <c r="AU65" s="259"/>
    </row>
    <row r="66" spans="2:47" ht="14.25" customHeight="1">
      <c r="B66" s="10"/>
      <c r="C66" s="31"/>
      <c r="D66" s="39" t="s">
        <v>281</v>
      </c>
      <c r="E66" s="32"/>
      <c r="F66" s="32"/>
      <c r="G66" s="32"/>
      <c r="H66" s="32"/>
      <c r="I66" s="32"/>
      <c r="J66" s="32"/>
      <c r="K66" s="32"/>
      <c r="L66" s="32"/>
      <c r="M66" s="32"/>
      <c r="N66" s="32"/>
      <c r="O66" s="32"/>
      <c r="P66" s="32"/>
      <c r="Q66" s="32"/>
      <c r="R66" s="32"/>
      <c r="S66" s="44"/>
      <c r="T66" s="44"/>
      <c r="U66" s="32"/>
      <c r="V66" s="32"/>
      <c r="W66" s="32"/>
      <c r="X66" s="32"/>
      <c r="Y66" s="32"/>
      <c r="Z66" s="32"/>
      <c r="AA66" s="32"/>
      <c r="AB66" s="32"/>
      <c r="AC66" s="32"/>
      <c r="AD66" s="1006"/>
      <c r="AE66" s="1006"/>
      <c r="AF66" s="1006"/>
      <c r="AG66" s="1006"/>
      <c r="AH66" s="33"/>
      <c r="AI66" s="11"/>
      <c r="AT66" s="257"/>
      <c r="AU66" s="259"/>
    </row>
    <row r="67" spans="2:47" ht="14.25" customHeight="1">
      <c r="B67" s="10"/>
      <c r="C67" s="34"/>
      <c r="H67" s="3" t="s">
        <v>27</v>
      </c>
      <c r="I67" s="1045"/>
      <c r="J67" s="1045"/>
      <c r="K67" s="2" t="s">
        <v>3</v>
      </c>
      <c r="M67" s="3" t="s">
        <v>10</v>
      </c>
      <c r="N67" s="1045"/>
      <c r="O67" s="1045"/>
      <c r="P67" s="2" t="s">
        <v>3</v>
      </c>
      <c r="R67" s="3" t="s">
        <v>24</v>
      </c>
      <c r="S67" s="1047"/>
      <c r="T67" s="1047"/>
      <c r="U67" s="2" t="s">
        <v>4</v>
      </c>
      <c r="W67" s="3" t="s">
        <v>25</v>
      </c>
      <c r="X67" s="1018"/>
      <c r="Y67" s="1018"/>
      <c r="Z67" s="2" t="s">
        <v>4</v>
      </c>
      <c r="AH67" s="35"/>
      <c r="AI67" s="11"/>
      <c r="AT67" s="257"/>
      <c r="AU67" s="259"/>
    </row>
    <row r="68" spans="2:47" ht="14.25" customHeight="1">
      <c r="B68" s="10"/>
      <c r="C68" s="34"/>
      <c r="H68" s="3" t="s">
        <v>9</v>
      </c>
      <c r="I68" s="1045"/>
      <c r="J68" s="1045"/>
      <c r="K68" s="2" t="s">
        <v>3</v>
      </c>
      <c r="M68" s="3" t="s">
        <v>10</v>
      </c>
      <c r="N68" s="1049"/>
      <c r="O68" s="1049"/>
      <c r="P68" s="2" t="s">
        <v>3</v>
      </c>
      <c r="R68" s="1050"/>
      <c r="S68" s="1050"/>
      <c r="T68" s="2" t="s">
        <v>62</v>
      </c>
      <c r="U68" s="17"/>
      <c r="V68" s="1047"/>
      <c r="W68" s="1047"/>
      <c r="X68" s="2" t="s">
        <v>1</v>
      </c>
      <c r="Y68" s="18"/>
      <c r="Z68" s="1047"/>
      <c r="AA68" s="1047"/>
      <c r="AB68" s="2" t="s">
        <v>38</v>
      </c>
      <c r="AD68" s="536" t="s">
        <v>242</v>
      </c>
      <c r="AE68" s="1018"/>
      <c r="AF68" s="1018"/>
      <c r="AG68" s="1018"/>
      <c r="AH68" s="836" t="s">
        <v>39</v>
      </c>
      <c r="AI68" s="11"/>
      <c r="AT68" s="257"/>
      <c r="AU68" s="259"/>
    </row>
    <row r="69" spans="2:47" ht="14.25" customHeight="1">
      <c r="B69" s="10"/>
      <c r="C69" s="34"/>
      <c r="D69" s="1002" t="s">
        <v>1331</v>
      </c>
      <c r="E69" s="1002"/>
      <c r="F69" s="1002"/>
      <c r="G69" s="1054"/>
      <c r="H69" s="1002"/>
      <c r="I69" s="1002"/>
      <c r="J69" s="20" t="s">
        <v>3</v>
      </c>
      <c r="K69" s="20"/>
      <c r="L69" s="757">
        <f>'3_rezeptkarte'!X56</f>
        <v>0</v>
      </c>
      <c r="M69" s="839" t="s">
        <v>814</v>
      </c>
      <c r="N69" s="20"/>
      <c r="O69" s="1019">
        <f>IF(ISBLANK('3_rezeptkarte'!J56),"",'3_rezeptkarte'!J56)</f>
        <v>0</v>
      </c>
      <c r="P69" s="1019"/>
      <c r="Q69" s="20" t="s">
        <v>13</v>
      </c>
      <c r="R69" s="960" t="str">
        <f>IF(ISBLANK('3_rezeptkarte'!AA55),"",'3_rezeptkarte'!AA55)</f>
        <v>wählen</v>
      </c>
      <c r="S69" s="960"/>
      <c r="T69" s="960"/>
      <c r="U69" s="1002" t="str">
        <f>IF(ISBLANK('3_rezeptkarte'!J55),"",'3_rezeptkarte'!J55)</f>
        <v>&lt;Hopfensorte wählen&gt;</v>
      </c>
      <c r="V69" s="1002"/>
      <c r="W69" s="1002"/>
      <c r="X69" s="1002"/>
      <c r="Y69" s="1002"/>
      <c r="Z69" s="1002"/>
      <c r="AA69" s="1002"/>
      <c r="AB69" s="960" t="str">
        <f>IF(ISBLANK('3_rezeptkarte'!O56),"",'3_rezeptkarte'!O56)</f>
        <v>bitte wählen</v>
      </c>
      <c r="AC69" s="960"/>
      <c r="AD69" s="960"/>
      <c r="AE69" s="960"/>
      <c r="AF69" s="960"/>
      <c r="AG69" s="960"/>
      <c r="AH69" s="1043"/>
      <c r="AI69" s="11"/>
      <c r="AT69" s="257"/>
      <c r="AU69" s="259"/>
    </row>
    <row r="70" spans="2:47" ht="14.25" customHeight="1">
      <c r="B70" s="10"/>
      <c r="C70" s="34"/>
      <c r="D70" s="1015" t="str">
        <f>'3_rezeptkarte'!D58</f>
        <v>2. Gabe</v>
      </c>
      <c r="E70" s="1015"/>
      <c r="F70" s="1015"/>
      <c r="G70" s="1015"/>
      <c r="H70" s="1015"/>
      <c r="I70" s="1015"/>
      <c r="J70" s="837" t="s">
        <v>3</v>
      </c>
      <c r="K70" s="547"/>
      <c r="L70" s="838">
        <f>'3_rezeptkarte'!X59</f>
        <v>0</v>
      </c>
      <c r="M70" s="547" t="s">
        <v>814</v>
      </c>
      <c r="N70" s="547"/>
      <c r="O70" s="996">
        <f>IF(ISBLANK('3_rezeptkarte'!J59),"",'3_rezeptkarte'!J59)</f>
        <v>0</v>
      </c>
      <c r="P70" s="996"/>
      <c r="Q70" s="547" t="s">
        <v>13</v>
      </c>
      <c r="R70" s="1051" t="str">
        <f>IF(ISBLANK('3_rezeptkarte'!AA58),"",'3_rezeptkarte'!AA58)</f>
        <v>wählen</v>
      </c>
      <c r="S70" s="1051"/>
      <c r="T70" s="1051"/>
      <c r="U70" s="1015" t="str">
        <f>IF(ISBLANK('3_rezeptkarte'!J58),"",'3_rezeptkarte'!J58)</f>
        <v>&lt;Hopfensorte wählen&gt;</v>
      </c>
      <c r="V70" s="1015"/>
      <c r="W70" s="1015"/>
      <c r="X70" s="1015"/>
      <c r="Y70" s="1015"/>
      <c r="Z70" s="1015"/>
      <c r="AA70" s="1015"/>
      <c r="AB70" s="1051" t="str">
        <f>IF(ISBLANK('3_rezeptkarte'!O59),"",'3_rezeptkarte'!O59)</f>
        <v>bitte wählen</v>
      </c>
      <c r="AC70" s="1051"/>
      <c r="AD70" s="1051"/>
      <c r="AE70" s="1051"/>
      <c r="AF70" s="1051"/>
      <c r="AG70" s="1051"/>
      <c r="AH70" s="1052"/>
      <c r="AI70" s="11"/>
      <c r="AO70" s="429"/>
      <c r="AT70" s="257"/>
      <c r="AU70" s="259"/>
    </row>
    <row r="71" spans="2:47" ht="14.25" customHeight="1">
      <c r="B71" s="10"/>
      <c r="C71" s="34"/>
      <c r="D71" s="1015" t="str">
        <f>'3_rezeptkarte'!D61</f>
        <v>3. Gabe</v>
      </c>
      <c r="E71" s="1015"/>
      <c r="F71" s="1015"/>
      <c r="G71" s="1053"/>
      <c r="H71" s="1053"/>
      <c r="I71" s="1053"/>
      <c r="J71" s="547" t="s">
        <v>3</v>
      </c>
      <c r="K71" s="547"/>
      <c r="L71" s="838">
        <f>'3_rezeptkarte'!X62</f>
        <v>0</v>
      </c>
      <c r="M71" s="547" t="s">
        <v>814</v>
      </c>
      <c r="N71" s="547"/>
      <c r="O71" s="996">
        <f>IF(ISBLANK('3_rezeptkarte'!J62),"",'3_rezeptkarte'!J62)</f>
        <v>0</v>
      </c>
      <c r="P71" s="996"/>
      <c r="Q71" s="547" t="s">
        <v>13</v>
      </c>
      <c r="R71" s="1051" t="str">
        <f>IF(ISBLANK('3_rezeptkarte'!AA61),"",'3_rezeptkarte'!AA61)</f>
        <v>wählen</v>
      </c>
      <c r="S71" s="1051"/>
      <c r="T71" s="1051"/>
      <c r="U71" s="1015" t="str">
        <f>IF(ISBLANK('3_rezeptkarte'!J61),"",'3_rezeptkarte'!J61)</f>
        <v>&lt;Hopfensorte wählen&gt;</v>
      </c>
      <c r="V71" s="1015"/>
      <c r="W71" s="1015"/>
      <c r="X71" s="1015"/>
      <c r="Y71" s="1015"/>
      <c r="Z71" s="1015"/>
      <c r="AA71" s="1015"/>
      <c r="AB71" s="1051" t="str">
        <f>IF(ISBLANK('3_rezeptkarte'!O62),"",'3_rezeptkarte'!O62)</f>
        <v>bitte wählen</v>
      </c>
      <c r="AC71" s="1051"/>
      <c r="AD71" s="1051"/>
      <c r="AE71" s="1051"/>
      <c r="AF71" s="1051"/>
      <c r="AG71" s="1051"/>
      <c r="AH71" s="1052"/>
      <c r="AI71" s="11"/>
      <c r="AT71" s="257"/>
      <c r="AU71" s="259"/>
    </row>
    <row r="72" spans="2:47" ht="14.25" customHeight="1">
      <c r="B72" s="10"/>
      <c r="C72" s="34"/>
      <c r="D72" s="1015" t="str">
        <f>'3_rezeptkarte'!D64</f>
        <v>4. Gabe</v>
      </c>
      <c r="E72" s="1015"/>
      <c r="F72" s="1015"/>
      <c r="G72" s="1053"/>
      <c r="H72" s="1053"/>
      <c r="I72" s="1053"/>
      <c r="J72" s="547" t="s">
        <v>3</v>
      </c>
      <c r="K72" s="547"/>
      <c r="L72" s="838">
        <f>'3_rezeptkarte'!X65</f>
        <v>0</v>
      </c>
      <c r="M72" s="547" t="s">
        <v>814</v>
      </c>
      <c r="N72" s="547"/>
      <c r="O72" s="996">
        <f>IF(ISBLANK('3_rezeptkarte'!J65),"",'3_rezeptkarte'!J65)</f>
        <v>0</v>
      </c>
      <c r="P72" s="996"/>
      <c r="Q72" s="547" t="s">
        <v>13</v>
      </c>
      <c r="R72" s="1051" t="str">
        <f>IF(ISBLANK('3_rezeptkarte'!AA64),"",'3_rezeptkarte'!AA64)</f>
        <v>wählen</v>
      </c>
      <c r="S72" s="1051"/>
      <c r="T72" s="1051"/>
      <c r="U72" s="1015" t="str">
        <f>IF(ISBLANK('3_rezeptkarte'!J64),"",'3_rezeptkarte'!J64)</f>
        <v>&lt;Hopfensorte wählen&gt;</v>
      </c>
      <c r="V72" s="1015"/>
      <c r="W72" s="1015"/>
      <c r="X72" s="1015"/>
      <c r="Y72" s="1015"/>
      <c r="Z72" s="1015"/>
      <c r="AA72" s="1015"/>
      <c r="AB72" s="1051" t="str">
        <f>IF(ISBLANK('3_rezeptkarte'!O65),"",'3_rezeptkarte'!O65)</f>
        <v>bitte wählen</v>
      </c>
      <c r="AC72" s="1051"/>
      <c r="AD72" s="1051"/>
      <c r="AE72" s="1051"/>
      <c r="AF72" s="1051"/>
      <c r="AG72" s="1051"/>
      <c r="AH72" s="1052"/>
      <c r="AI72" s="11"/>
      <c r="AT72" s="257"/>
      <c r="AU72" s="259"/>
    </row>
    <row r="73" spans="2:47" ht="14.25" customHeight="1">
      <c r="B73" s="10"/>
      <c r="C73" s="34"/>
      <c r="D73" s="1015" t="str">
        <f>'3_rezeptkarte'!D67</f>
        <v>5. Gabe</v>
      </c>
      <c r="E73" s="1015"/>
      <c r="F73" s="1015"/>
      <c r="G73" s="1053"/>
      <c r="H73" s="1053"/>
      <c r="I73" s="1053"/>
      <c r="J73" s="547" t="s">
        <v>3</v>
      </c>
      <c r="K73" s="547"/>
      <c r="L73" s="838">
        <f>'3_rezeptkarte'!X68</f>
        <v>0</v>
      </c>
      <c r="M73" s="547" t="s">
        <v>814</v>
      </c>
      <c r="N73" s="547"/>
      <c r="O73" s="996">
        <f>IF(ISBLANK('3_rezeptkarte'!J68),"",'3_rezeptkarte'!J68)</f>
        <v>0</v>
      </c>
      <c r="P73" s="996"/>
      <c r="Q73" s="547" t="s">
        <v>13</v>
      </c>
      <c r="R73" s="1051" t="str">
        <f>IF(ISBLANK('3_rezeptkarte'!AA67),"",'3_rezeptkarte'!AA67)</f>
        <v>wählen</v>
      </c>
      <c r="S73" s="1051"/>
      <c r="T73" s="1051"/>
      <c r="U73" s="1015" t="str">
        <f>IF(ISBLANK('3_rezeptkarte'!J67),"",'3_rezeptkarte'!J67)</f>
        <v>&lt;Hopfensorte wählen&gt;</v>
      </c>
      <c r="V73" s="1015"/>
      <c r="W73" s="1015"/>
      <c r="X73" s="1015"/>
      <c r="Y73" s="1015"/>
      <c r="Z73" s="1015"/>
      <c r="AA73" s="1015"/>
      <c r="AB73" s="1051" t="str">
        <f>IF(ISBLANK('3_rezeptkarte'!O68),"",'3_rezeptkarte'!O68)</f>
        <v>bitte wählen</v>
      </c>
      <c r="AC73" s="1051"/>
      <c r="AD73" s="1051"/>
      <c r="AE73" s="1051"/>
      <c r="AF73" s="1051"/>
      <c r="AG73" s="1051"/>
      <c r="AH73" s="1052"/>
      <c r="AI73" s="11"/>
      <c r="AT73" s="257"/>
      <c r="AU73" s="259"/>
    </row>
    <row r="74" spans="2:47" ht="14.25" customHeight="1">
      <c r="B74" s="10"/>
      <c r="C74" s="34"/>
      <c r="H74" s="3" t="s">
        <v>250</v>
      </c>
      <c r="I74" s="1045"/>
      <c r="J74" s="1045"/>
      <c r="K74" s="2" t="s">
        <v>3</v>
      </c>
      <c r="M74" s="3" t="s">
        <v>10</v>
      </c>
      <c r="N74" s="1049"/>
      <c r="O74" s="1049"/>
      <c r="P74" s="2" t="s">
        <v>3</v>
      </c>
      <c r="R74" s="1050"/>
      <c r="S74" s="1050"/>
      <c r="T74" s="2" t="s">
        <v>62</v>
      </c>
      <c r="U74" s="17"/>
      <c r="V74" s="1047"/>
      <c r="W74" s="1047"/>
      <c r="X74" s="2" t="s">
        <v>1</v>
      </c>
      <c r="Y74" s="18"/>
      <c r="Z74" s="1047"/>
      <c r="AA74" s="1047"/>
      <c r="AB74" s="2" t="s">
        <v>38</v>
      </c>
      <c r="AD74" s="536" t="s">
        <v>242</v>
      </c>
      <c r="AE74" s="1018"/>
      <c r="AF74" s="1018"/>
      <c r="AG74" s="1018"/>
      <c r="AH74" s="35" t="s">
        <v>39</v>
      </c>
      <c r="AI74" s="11"/>
      <c r="AT74" s="257"/>
      <c r="AU74" s="259"/>
    </row>
    <row r="75" spans="2:47" ht="1.95" customHeight="1">
      <c r="B75" s="10"/>
      <c r="C75" s="36"/>
      <c r="D75" s="20"/>
      <c r="E75" s="20"/>
      <c r="F75" s="20"/>
      <c r="G75" s="20"/>
      <c r="H75" s="20"/>
      <c r="I75" s="20"/>
      <c r="J75" s="20"/>
      <c r="K75" s="20"/>
      <c r="L75" s="20"/>
      <c r="M75" s="205"/>
      <c r="N75" s="20"/>
      <c r="O75" s="20"/>
      <c r="P75" s="20"/>
      <c r="Q75" s="20"/>
      <c r="R75" s="205"/>
      <c r="S75" s="20"/>
      <c r="T75" s="20"/>
      <c r="U75" s="20"/>
      <c r="V75" s="20"/>
      <c r="W75" s="20"/>
      <c r="X75" s="20"/>
      <c r="Y75" s="20"/>
      <c r="Z75" s="20"/>
      <c r="AA75" s="20"/>
      <c r="AB75" s="20"/>
      <c r="AC75" s="26"/>
      <c r="AD75" s="26"/>
      <c r="AE75" s="26"/>
      <c r="AF75" s="26"/>
      <c r="AG75" s="26"/>
      <c r="AH75" s="40"/>
      <c r="AI75" s="11"/>
      <c r="AT75" s="257"/>
      <c r="AU75" s="259"/>
    </row>
    <row r="76" spans="2:47" ht="1.95" customHeight="1">
      <c r="B76" s="10"/>
      <c r="AC76" s="547"/>
      <c r="AD76" s="547"/>
      <c r="AE76" s="547"/>
      <c r="AF76" s="547"/>
      <c r="AG76" s="547"/>
      <c r="AH76" s="547"/>
      <c r="AI76" s="11"/>
      <c r="AT76" s="257"/>
      <c r="AU76" s="259"/>
    </row>
    <row r="77" spans="2:47" ht="14.25" customHeight="1">
      <c r="B77" s="10"/>
      <c r="C77" s="31"/>
      <c r="D77" s="39" t="s">
        <v>282</v>
      </c>
      <c r="E77" s="32"/>
      <c r="F77" s="32"/>
      <c r="G77" s="32"/>
      <c r="H77" s="32"/>
      <c r="I77" s="32"/>
      <c r="J77" s="32"/>
      <c r="K77" s="33"/>
      <c r="M77" s="153" t="s">
        <v>283</v>
      </c>
      <c r="N77" s="32"/>
      <c r="O77" s="32"/>
      <c r="P77" s="32"/>
      <c r="Q77" s="32"/>
      <c r="R77" s="32"/>
      <c r="S77" s="32"/>
      <c r="T77" s="32"/>
      <c r="U77" s="32"/>
      <c r="V77" s="32"/>
      <c r="W77" s="32"/>
      <c r="X77" s="32"/>
      <c r="Y77" s="32"/>
      <c r="Z77" s="32"/>
      <c r="AA77" s="32"/>
      <c r="AB77" s="32"/>
      <c r="AC77" s="32"/>
      <c r="AD77" s="32"/>
      <c r="AE77" s="32"/>
      <c r="AF77" s="32"/>
      <c r="AG77" s="32"/>
      <c r="AH77" s="33"/>
      <c r="AI77" s="11"/>
      <c r="AT77" s="257"/>
      <c r="AU77" s="259"/>
    </row>
    <row r="78" spans="2:47" ht="14.25" customHeight="1">
      <c r="B78" s="10"/>
      <c r="C78" s="34"/>
      <c r="D78" s="3" t="s">
        <v>230</v>
      </c>
      <c r="E78" s="1045"/>
      <c r="F78" s="1045"/>
      <c r="G78" s="2" t="s">
        <v>3</v>
      </c>
      <c r="H78" s="3"/>
      <c r="I78" s="1018"/>
      <c r="J78" s="1018"/>
      <c r="K78" s="35" t="s">
        <v>5</v>
      </c>
      <c r="M78" s="34"/>
      <c r="S78" s="3"/>
      <c r="T78" s="3" t="s">
        <v>819</v>
      </c>
      <c r="U78" s="1046"/>
      <c r="V78" s="1046"/>
      <c r="W78" s="1046"/>
      <c r="Y78" s="3" t="s">
        <v>230</v>
      </c>
      <c r="Z78" s="1045"/>
      <c r="AA78" s="1045"/>
      <c r="AB78" s="2" t="s">
        <v>3</v>
      </c>
      <c r="AC78" s="3"/>
      <c r="AD78" s="1047"/>
      <c r="AE78" s="1047"/>
      <c r="AF78" s="1047"/>
      <c r="AG78" s="2" t="s">
        <v>1</v>
      </c>
      <c r="AH78" s="35"/>
      <c r="AI78" s="11"/>
      <c r="AT78" s="257"/>
      <c r="AU78" s="259"/>
    </row>
    <row r="79" spans="2:47" ht="14.25" customHeight="1">
      <c r="B79" s="10"/>
      <c r="C79" s="34"/>
      <c r="D79" s="3"/>
      <c r="E79" s="158"/>
      <c r="F79" s="158"/>
      <c r="G79" s="536"/>
      <c r="H79" s="545" t="s">
        <v>242</v>
      </c>
      <c r="I79" s="1048"/>
      <c r="J79" s="1048"/>
      <c r="K79" s="35" t="s">
        <v>827</v>
      </c>
      <c r="M79" s="34" t="s">
        <v>14</v>
      </c>
      <c r="N79" s="1047"/>
      <c r="O79" s="1047"/>
      <c r="P79" s="158"/>
      <c r="Q79" s="1047"/>
      <c r="R79" s="1047"/>
      <c r="S79" s="2" t="s">
        <v>38</v>
      </c>
      <c r="U79" s="536" t="s">
        <v>242</v>
      </c>
      <c r="V79" s="1048"/>
      <c r="W79" s="1048"/>
      <c r="X79" s="2" t="s">
        <v>39</v>
      </c>
      <c r="AD79" s="21"/>
      <c r="AE79" s="21" t="s">
        <v>18</v>
      </c>
      <c r="AF79" s="999" t="str">
        <f>IF(ISERROR(AT79*(V74+I79)/'3_rezeptkarte'!M13),"", AT79*(V74+I79)/'3_rezeptkarte'!M13)</f>
        <v/>
      </c>
      <c r="AG79" s="999"/>
      <c r="AH79" s="546" t="s">
        <v>5</v>
      </c>
      <c r="AI79" s="11"/>
      <c r="AT79" s="548" t="str">
        <f>IF(ISERROR(VLOOKUP(AE74,$AT$83:$AU$173,2,FALSE)),"0", VLOOKUP(AE74,$AT$83:$AU$173,2,FALSE))</f>
        <v>0</v>
      </c>
      <c r="AU79" s="259"/>
    </row>
    <row r="80" spans="2:47" ht="1.95" customHeight="1">
      <c r="B80" s="10"/>
      <c r="C80" s="36"/>
      <c r="D80" s="20"/>
      <c r="E80" s="20"/>
      <c r="F80" s="20"/>
      <c r="G80" s="20"/>
      <c r="H80" s="20"/>
      <c r="I80" s="20"/>
      <c r="J80" s="20"/>
      <c r="K80" s="37"/>
      <c r="M80" s="36"/>
      <c r="N80" s="20"/>
      <c r="O80" s="20"/>
      <c r="P80" s="20"/>
      <c r="Q80" s="20"/>
      <c r="R80" s="20"/>
      <c r="S80" s="20"/>
      <c r="T80" s="20"/>
      <c r="U80" s="20"/>
      <c r="V80" s="20"/>
      <c r="W80" s="20"/>
      <c r="X80" s="20"/>
      <c r="Y80" s="20"/>
      <c r="Z80" s="20"/>
      <c r="AA80" s="20"/>
      <c r="AB80" s="20"/>
      <c r="AC80" s="20"/>
      <c r="AD80" s="20"/>
      <c r="AE80" s="20"/>
      <c r="AF80" s="20"/>
      <c r="AG80" s="20"/>
      <c r="AH80" s="37"/>
      <c r="AI80" s="11"/>
      <c r="AT80" s="257"/>
      <c r="AU80" s="259"/>
    </row>
    <row r="81" spans="1:47" ht="1.95" customHeight="1" thickBot="1">
      <c r="B81" s="12"/>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5"/>
      <c r="AT81" s="257"/>
      <c r="AU81" s="259"/>
    </row>
    <row r="82" spans="1:47" ht="16.5" customHeight="1">
      <c r="A82" s="46"/>
      <c r="B82" s="46"/>
      <c r="C82" s="46"/>
      <c r="D82" s="27"/>
      <c r="E82" s="27"/>
      <c r="F82" s="155"/>
      <c r="G82" s="27"/>
      <c r="H82" s="155"/>
      <c r="I82" s="155"/>
      <c r="J82" s="155"/>
      <c r="K82" s="46"/>
      <c r="L82" s="46"/>
      <c r="M82" s="27"/>
      <c r="N82" s="27"/>
      <c r="O82" s="46"/>
      <c r="P82" s="46"/>
      <c r="Q82" s="46"/>
      <c r="R82" s="46"/>
      <c r="S82" s="46"/>
      <c r="T82" s="46"/>
      <c r="U82" s="46"/>
      <c r="V82" s="46"/>
      <c r="W82" s="46"/>
      <c r="X82" s="46"/>
      <c r="AT82" s="549"/>
      <c r="AU82" s="550"/>
    </row>
    <row r="83" spans="1:47" ht="16.5" customHeight="1">
      <c r="A83" s="46"/>
      <c r="B83" s="46"/>
      <c r="C83" s="46"/>
      <c r="D83" s="27"/>
      <c r="E83" s="27"/>
      <c r="F83" s="155"/>
      <c r="G83" s="27"/>
      <c r="H83" s="155"/>
      <c r="I83" s="155"/>
      <c r="J83" s="155"/>
      <c r="K83" s="46"/>
      <c r="L83" s="46"/>
      <c r="M83" s="27"/>
      <c r="N83" s="27"/>
      <c r="O83" s="46"/>
      <c r="P83" s="46"/>
      <c r="Q83" s="46"/>
      <c r="R83" s="46"/>
      <c r="S83" s="46"/>
      <c r="T83" s="46"/>
      <c r="U83" s="46"/>
      <c r="V83" s="46"/>
      <c r="W83" s="46"/>
      <c r="X83" s="46"/>
      <c r="AT83" s="551">
        <v>11</v>
      </c>
      <c r="AU83" s="552">
        <v>11.01</v>
      </c>
    </row>
    <row r="84" spans="1:47" ht="16.5" customHeight="1">
      <c r="A84" s="46"/>
      <c r="B84" s="46"/>
      <c r="C84" s="46"/>
      <c r="D84" s="27"/>
      <c r="E84" s="27"/>
      <c r="F84" s="155"/>
      <c r="G84" s="27"/>
      <c r="H84" s="155"/>
      <c r="I84" s="155"/>
      <c r="J84" s="155"/>
      <c r="K84" s="46"/>
      <c r="L84" s="46"/>
      <c r="M84" s="27"/>
      <c r="N84" s="27"/>
      <c r="O84" s="46"/>
      <c r="P84" s="46"/>
      <c r="Q84" s="46"/>
      <c r="R84" s="46"/>
      <c r="S84" s="46"/>
      <c r="T84" s="46"/>
      <c r="U84" s="46"/>
      <c r="V84" s="46"/>
      <c r="W84" s="46"/>
      <c r="X84" s="46"/>
      <c r="AT84" s="551">
        <v>11.1</v>
      </c>
      <c r="AU84" s="552">
        <v>11.11</v>
      </c>
    </row>
    <row r="85" spans="1:47" ht="16.5" customHeight="1">
      <c r="A85" s="46"/>
      <c r="B85" s="46"/>
      <c r="C85" s="46"/>
      <c r="D85" s="27"/>
      <c r="E85" s="27"/>
      <c r="F85" s="155"/>
      <c r="G85" s="27"/>
      <c r="H85" s="155"/>
      <c r="I85" s="155"/>
      <c r="J85" s="155"/>
      <c r="K85" s="46"/>
      <c r="L85" s="46"/>
      <c r="M85" s="27"/>
      <c r="N85" s="27"/>
      <c r="O85" s="46"/>
      <c r="P85" s="46"/>
      <c r="Q85" s="46"/>
      <c r="R85" s="46"/>
      <c r="S85" s="46"/>
      <c r="T85" s="46"/>
      <c r="U85" s="46"/>
      <c r="V85" s="46"/>
      <c r="W85" s="46"/>
      <c r="X85" s="46"/>
      <c r="AT85" s="551">
        <v>11.2</v>
      </c>
      <c r="AU85" s="552">
        <v>11.22</v>
      </c>
    </row>
    <row r="86" spans="1:47" ht="16.5" customHeight="1">
      <c r="A86" s="46"/>
      <c r="B86" s="46"/>
      <c r="C86" s="46"/>
      <c r="D86" s="27"/>
      <c r="E86" s="27"/>
      <c r="F86" s="155"/>
      <c r="G86" s="27"/>
      <c r="H86" s="155"/>
      <c r="I86" s="155"/>
      <c r="J86" s="155"/>
      <c r="K86" s="46"/>
      <c r="L86" s="46"/>
      <c r="M86" s="27"/>
      <c r="N86" s="27"/>
      <c r="O86" s="46"/>
      <c r="P86" s="46"/>
      <c r="Q86" s="46"/>
      <c r="R86" s="46"/>
      <c r="S86" s="46"/>
      <c r="T86" s="46"/>
      <c r="U86" s="46"/>
      <c r="V86" s="46"/>
      <c r="W86" s="46"/>
      <c r="X86" s="46"/>
      <c r="AT86" s="551">
        <v>11.3</v>
      </c>
      <c r="AU86" s="552">
        <v>11.32</v>
      </c>
    </row>
    <row r="87" spans="1:47" ht="16.5" customHeight="1">
      <c r="A87" s="46"/>
      <c r="B87" s="46"/>
      <c r="C87" s="46"/>
      <c r="D87" s="27"/>
      <c r="E87" s="27"/>
      <c r="F87" s="155"/>
      <c r="G87" s="27"/>
      <c r="H87" s="155"/>
      <c r="I87" s="155"/>
      <c r="J87" s="155"/>
      <c r="K87" s="46"/>
      <c r="L87" s="46"/>
      <c r="M87" s="27"/>
      <c r="N87" s="27"/>
      <c r="O87" s="46"/>
      <c r="P87" s="46"/>
      <c r="Q87" s="46"/>
      <c r="R87" s="46"/>
      <c r="S87" s="46"/>
      <c r="T87" s="46"/>
      <c r="U87" s="46"/>
      <c r="V87" s="46"/>
      <c r="W87" s="46"/>
      <c r="X87" s="46"/>
      <c r="AT87" s="551">
        <v>11.4</v>
      </c>
      <c r="AU87" s="552">
        <v>11.42</v>
      </c>
    </row>
    <row r="88" spans="1:47" ht="16.5" customHeight="1">
      <c r="A88" s="46"/>
      <c r="B88" s="46"/>
      <c r="C88" s="46"/>
      <c r="D88" s="27"/>
      <c r="E88" s="27"/>
      <c r="F88" s="155"/>
      <c r="G88" s="27"/>
      <c r="H88" s="155"/>
      <c r="I88" s="155"/>
      <c r="J88" s="155"/>
      <c r="K88" s="46"/>
      <c r="L88" s="46"/>
      <c r="M88" s="27"/>
      <c r="N88" s="27"/>
      <c r="O88" s="46"/>
      <c r="P88" s="46"/>
      <c r="Q88" s="46"/>
      <c r="R88" s="46"/>
      <c r="S88" s="46"/>
      <c r="T88" s="46"/>
      <c r="U88" s="46"/>
      <c r="V88" s="46"/>
      <c r="W88" s="46"/>
      <c r="X88" s="46"/>
      <c r="AT88" s="551">
        <v>11.5</v>
      </c>
      <c r="AU88" s="552">
        <v>11.53</v>
      </c>
    </row>
    <row r="89" spans="1:47" ht="16.5" customHeight="1">
      <c r="A89" s="46"/>
      <c r="B89" s="46"/>
      <c r="C89" s="46"/>
      <c r="D89" s="27"/>
      <c r="E89" s="27"/>
      <c r="F89" s="154"/>
      <c r="G89" s="27"/>
      <c r="H89" s="155"/>
      <c r="I89" s="155"/>
      <c r="J89" s="155"/>
      <c r="K89" s="46"/>
      <c r="L89" s="46"/>
      <c r="M89" s="27"/>
      <c r="N89" s="27"/>
      <c r="O89" s="46"/>
      <c r="P89" s="46"/>
      <c r="Q89" s="46"/>
      <c r="R89" s="46"/>
      <c r="S89" s="46"/>
      <c r="T89" s="46"/>
      <c r="U89" s="46"/>
      <c r="V89" s="46"/>
      <c r="W89" s="46"/>
      <c r="X89" s="46"/>
      <c r="AT89" s="551">
        <v>11.6</v>
      </c>
      <c r="AU89" s="552">
        <v>11.63</v>
      </c>
    </row>
    <row r="90" spans="1:47" ht="16.5" customHeight="1">
      <c r="A90" s="46"/>
      <c r="B90" s="46"/>
      <c r="C90" s="46"/>
      <c r="D90" s="27"/>
      <c r="E90" s="27"/>
      <c r="F90" s="154"/>
      <c r="G90" s="27"/>
      <c r="H90" s="155"/>
      <c r="I90" s="155"/>
      <c r="J90" s="155"/>
      <c r="K90" s="46"/>
      <c r="L90" s="46"/>
      <c r="M90" s="27"/>
      <c r="N90" s="27"/>
      <c r="O90" s="46"/>
      <c r="P90" s="46"/>
      <c r="Q90" s="46"/>
      <c r="R90" s="46"/>
      <c r="S90" s="46"/>
      <c r="T90" s="46"/>
      <c r="U90" s="46"/>
      <c r="V90" s="46"/>
      <c r="W90" s="46"/>
      <c r="X90" s="46"/>
      <c r="AT90" s="551">
        <v>11.7</v>
      </c>
      <c r="AU90" s="552">
        <v>11.74</v>
      </c>
    </row>
    <row r="91" spans="1:47" ht="16.5" customHeight="1">
      <c r="A91" s="46"/>
      <c r="B91" s="46"/>
      <c r="C91" s="46"/>
      <c r="D91" s="27"/>
      <c r="E91" s="27"/>
      <c r="F91" s="154"/>
      <c r="G91" s="27"/>
      <c r="H91" s="155"/>
      <c r="I91" s="155"/>
      <c r="J91" s="155"/>
      <c r="K91" s="46"/>
      <c r="L91" s="46"/>
      <c r="M91" s="27"/>
      <c r="N91" s="27"/>
      <c r="O91" s="46"/>
      <c r="P91" s="46"/>
      <c r="Q91" s="46"/>
      <c r="R91" s="46"/>
      <c r="S91" s="46"/>
      <c r="T91" s="46"/>
      <c r="U91" s="46"/>
      <c r="V91" s="46"/>
      <c r="W91" s="46"/>
      <c r="X91" s="46"/>
      <c r="AT91" s="551">
        <v>11.8</v>
      </c>
      <c r="AU91" s="552">
        <v>11.85</v>
      </c>
    </row>
    <row r="92" spans="1:47" ht="16.5" customHeight="1">
      <c r="A92" s="46"/>
      <c r="B92" s="46"/>
      <c r="C92" s="46"/>
      <c r="D92" s="27"/>
      <c r="E92" s="27"/>
      <c r="F92" s="154"/>
      <c r="G92" s="27"/>
      <c r="H92" s="155"/>
      <c r="I92" s="155"/>
      <c r="J92" s="155"/>
      <c r="K92" s="46"/>
      <c r="L92" s="46"/>
      <c r="M92" s="27"/>
      <c r="N92" s="27"/>
      <c r="O92" s="46"/>
      <c r="P92" s="46"/>
      <c r="Q92" s="46"/>
      <c r="R92" s="46"/>
      <c r="S92" s="46"/>
      <c r="T92" s="46"/>
      <c r="U92" s="46"/>
      <c r="V92" s="46"/>
      <c r="W92" s="46"/>
      <c r="X92" s="46"/>
      <c r="AT92" s="551">
        <v>11.9</v>
      </c>
      <c r="AU92" s="552">
        <v>11.95</v>
      </c>
    </row>
    <row r="93" spans="1:47" ht="16.5" customHeight="1">
      <c r="A93" s="46"/>
      <c r="B93" s="46"/>
      <c r="C93" s="46"/>
      <c r="D93" s="27"/>
      <c r="E93" s="27"/>
      <c r="F93" s="154"/>
      <c r="G93" s="27"/>
      <c r="H93" s="155"/>
      <c r="I93" s="155"/>
      <c r="J93" s="155"/>
      <c r="K93" s="46"/>
      <c r="L93" s="46"/>
      <c r="M93" s="27"/>
      <c r="N93" s="27"/>
      <c r="O93" s="46"/>
      <c r="P93" s="46"/>
      <c r="Q93" s="46"/>
      <c r="R93" s="46"/>
      <c r="S93" s="46"/>
      <c r="T93" s="46"/>
      <c r="U93" s="46"/>
      <c r="V93" s="46"/>
      <c r="W93" s="46"/>
      <c r="X93" s="46"/>
      <c r="AT93" s="551">
        <v>12</v>
      </c>
      <c r="AU93" s="552">
        <v>12.06</v>
      </c>
    </row>
    <row r="94" spans="1:47" ht="16.5" customHeight="1">
      <c r="A94" s="46"/>
      <c r="B94" s="46"/>
      <c r="C94" s="46"/>
      <c r="D94" s="27"/>
      <c r="E94" s="27"/>
      <c r="F94" s="154"/>
      <c r="G94" s="27"/>
      <c r="H94" s="155"/>
      <c r="I94" s="155"/>
      <c r="J94" s="155"/>
      <c r="K94" s="46"/>
      <c r="L94" s="46"/>
      <c r="M94" s="27"/>
      <c r="N94" s="27"/>
      <c r="O94" s="46"/>
      <c r="P94" s="46"/>
      <c r="Q94" s="46"/>
      <c r="R94" s="46"/>
      <c r="S94" s="46"/>
      <c r="T94" s="46"/>
      <c r="U94" s="46"/>
      <c r="V94" s="46"/>
      <c r="W94" s="46"/>
      <c r="X94" s="46"/>
      <c r="AT94" s="551">
        <v>12.1</v>
      </c>
      <c r="AU94" s="552">
        <v>12.17</v>
      </c>
    </row>
    <row r="95" spans="1:47" ht="16.5" customHeight="1">
      <c r="A95" s="46"/>
      <c r="B95" s="46"/>
      <c r="C95" s="46"/>
      <c r="D95" s="27"/>
      <c r="E95" s="27"/>
      <c r="F95" s="154"/>
      <c r="G95" s="27"/>
      <c r="H95" s="155"/>
      <c r="I95" s="155"/>
      <c r="J95" s="155"/>
      <c r="K95" s="46"/>
      <c r="L95" s="46"/>
      <c r="M95" s="27"/>
      <c r="N95" s="27"/>
      <c r="O95" s="46"/>
      <c r="P95" s="46"/>
      <c r="Q95" s="46"/>
      <c r="R95" s="46"/>
      <c r="S95" s="46"/>
      <c r="T95" s="46"/>
      <c r="U95" s="46"/>
      <c r="V95" s="46"/>
      <c r="W95" s="46"/>
      <c r="X95" s="46"/>
      <c r="AT95" s="551">
        <v>12.2</v>
      </c>
      <c r="AU95" s="552">
        <v>12.27</v>
      </c>
    </row>
    <row r="96" spans="1:47" ht="16.5" customHeight="1">
      <c r="A96" s="46"/>
      <c r="B96" s="46"/>
      <c r="C96" s="46"/>
      <c r="D96" s="27"/>
      <c r="E96" s="27"/>
      <c r="F96" s="154"/>
      <c r="G96" s="27"/>
      <c r="H96" s="155"/>
      <c r="I96" s="155"/>
      <c r="J96" s="155"/>
      <c r="K96" s="46"/>
      <c r="L96" s="46"/>
      <c r="M96" s="27"/>
      <c r="N96" s="27"/>
      <c r="O96" s="46"/>
      <c r="P96" s="46"/>
      <c r="Q96" s="46"/>
      <c r="R96" s="46"/>
      <c r="S96" s="46"/>
      <c r="T96" s="46"/>
      <c r="U96" s="46"/>
      <c r="V96" s="46"/>
      <c r="W96" s="46"/>
      <c r="X96" s="46"/>
      <c r="AT96" s="551">
        <v>12.3</v>
      </c>
      <c r="AU96" s="552">
        <v>12.38</v>
      </c>
    </row>
    <row r="97" spans="1:47" ht="16.5" customHeight="1">
      <c r="A97" s="46"/>
      <c r="B97" s="46"/>
      <c r="C97" s="46"/>
      <c r="D97" s="27"/>
      <c r="E97" s="27"/>
      <c r="F97" s="154"/>
      <c r="G97" s="27"/>
      <c r="H97" s="155"/>
      <c r="I97" s="155"/>
      <c r="J97" s="155"/>
      <c r="K97" s="46"/>
      <c r="L97" s="46"/>
      <c r="M97" s="27"/>
      <c r="N97" s="27"/>
      <c r="O97" s="46"/>
      <c r="P97" s="46"/>
      <c r="Q97" s="46"/>
      <c r="R97" s="46"/>
      <c r="S97" s="46"/>
      <c r="T97" s="46"/>
      <c r="U97" s="46"/>
      <c r="V97" s="46"/>
      <c r="W97" s="46"/>
      <c r="X97" s="46"/>
      <c r="AT97" s="551">
        <v>12.4</v>
      </c>
      <c r="AU97" s="552">
        <v>12.48</v>
      </c>
    </row>
    <row r="98" spans="1:47" ht="16.5" customHeight="1">
      <c r="A98" s="46"/>
      <c r="B98" s="46"/>
      <c r="C98" s="46"/>
      <c r="D98" s="27"/>
      <c r="E98" s="27"/>
      <c r="F98" s="154"/>
      <c r="G98" s="27"/>
      <c r="H98" s="155"/>
      <c r="I98" s="155"/>
      <c r="J98" s="155"/>
      <c r="K98" s="46"/>
      <c r="L98" s="46"/>
      <c r="M98" s="27"/>
      <c r="N98" s="27"/>
      <c r="O98" s="46"/>
      <c r="P98" s="46"/>
      <c r="Q98" s="46"/>
      <c r="R98" s="46"/>
      <c r="S98" s="46"/>
      <c r="T98" s="46"/>
      <c r="U98" s="46"/>
      <c r="V98" s="46"/>
      <c r="W98" s="46"/>
      <c r="X98" s="46"/>
      <c r="AT98" s="551">
        <v>12.5</v>
      </c>
      <c r="AU98" s="552">
        <v>12.59</v>
      </c>
    </row>
    <row r="99" spans="1:47" ht="16.5" customHeight="1">
      <c r="A99" s="46"/>
      <c r="B99" s="46"/>
      <c r="C99" s="46"/>
      <c r="D99" s="27"/>
      <c r="E99" s="27"/>
      <c r="F99" s="154"/>
      <c r="G99" s="27"/>
      <c r="H99" s="155"/>
      <c r="I99" s="155"/>
      <c r="J99" s="155"/>
      <c r="K99" s="46"/>
      <c r="L99" s="46"/>
      <c r="M99" s="27"/>
      <c r="N99" s="27"/>
      <c r="O99" s="46"/>
      <c r="P99" s="46"/>
      <c r="Q99" s="46"/>
      <c r="R99" s="46"/>
      <c r="S99" s="46"/>
      <c r="T99" s="46"/>
      <c r="U99" s="46"/>
      <c r="V99" s="46"/>
      <c r="W99" s="46"/>
      <c r="X99" s="46"/>
      <c r="AT99" s="551">
        <v>12.6</v>
      </c>
      <c r="AU99" s="552">
        <v>12.69</v>
      </c>
    </row>
    <row r="100" spans="1:47" ht="16.5" customHeight="1">
      <c r="A100" s="46"/>
      <c r="B100" s="46"/>
      <c r="C100" s="46"/>
      <c r="D100" s="27"/>
      <c r="E100" s="27"/>
      <c r="F100" s="154"/>
      <c r="G100" s="27"/>
      <c r="H100" s="155"/>
      <c r="I100" s="155"/>
      <c r="J100" s="155"/>
      <c r="K100" s="46"/>
      <c r="L100" s="46"/>
      <c r="M100" s="27"/>
      <c r="N100" s="27"/>
      <c r="O100" s="46"/>
      <c r="P100" s="46"/>
      <c r="Q100" s="46"/>
      <c r="R100" s="46"/>
      <c r="S100" s="46"/>
      <c r="T100" s="46"/>
      <c r="U100" s="46"/>
      <c r="V100" s="46"/>
      <c r="W100" s="46"/>
      <c r="X100" s="46"/>
      <c r="AT100" s="551">
        <v>12.7</v>
      </c>
      <c r="AU100" s="552">
        <v>12.8</v>
      </c>
    </row>
    <row r="101" spans="1:47" ht="16.5" customHeight="1">
      <c r="A101" s="46"/>
      <c r="B101" s="46"/>
      <c r="C101" s="46"/>
      <c r="D101" s="27"/>
      <c r="E101" s="27"/>
      <c r="F101" s="154"/>
      <c r="G101" s="27"/>
      <c r="H101" s="155"/>
      <c r="I101" s="155"/>
      <c r="J101" s="155"/>
      <c r="K101" s="46"/>
      <c r="L101" s="46"/>
      <c r="M101" s="27"/>
      <c r="N101" s="27"/>
      <c r="O101" s="46"/>
      <c r="P101" s="46"/>
      <c r="Q101" s="46"/>
      <c r="R101" s="46"/>
      <c r="S101" s="46"/>
      <c r="T101" s="46"/>
      <c r="U101" s="46"/>
      <c r="V101" s="46"/>
      <c r="W101" s="46"/>
      <c r="X101" s="46"/>
      <c r="AT101" s="551">
        <v>12.8</v>
      </c>
      <c r="AU101" s="552">
        <v>12.9</v>
      </c>
    </row>
    <row r="102" spans="1:47" ht="16.5" customHeight="1">
      <c r="A102" s="46"/>
      <c r="B102" s="46"/>
      <c r="C102" s="46"/>
      <c r="D102" s="27"/>
      <c r="E102" s="27"/>
      <c r="F102" s="154"/>
      <c r="G102" s="27"/>
      <c r="H102" s="155"/>
      <c r="I102" s="155"/>
      <c r="J102" s="155"/>
      <c r="K102" s="46"/>
      <c r="L102" s="46"/>
      <c r="M102" s="27"/>
      <c r="N102" s="27"/>
      <c r="O102" s="46"/>
      <c r="P102" s="46"/>
      <c r="Q102" s="46"/>
      <c r="R102" s="46"/>
      <c r="S102" s="46"/>
      <c r="T102" s="46"/>
      <c r="U102" s="46"/>
      <c r="V102" s="46"/>
      <c r="W102" s="46"/>
      <c r="X102" s="46"/>
      <c r="AT102" s="551">
        <v>12.9</v>
      </c>
      <c r="AU102" s="552">
        <v>13.01</v>
      </c>
    </row>
    <row r="103" spans="1:47" ht="16.5" customHeight="1">
      <c r="A103" s="46"/>
      <c r="B103" s="46"/>
      <c r="C103" s="46"/>
      <c r="D103" s="162"/>
      <c r="E103" s="27"/>
      <c r="F103" s="154"/>
      <c r="G103" s="154"/>
      <c r="H103" s="155"/>
      <c r="I103" s="155"/>
      <c r="J103" s="155"/>
      <c r="K103" s="46"/>
      <c r="L103" s="46"/>
      <c r="M103" s="27"/>
      <c r="N103" s="27"/>
      <c r="O103" s="46"/>
      <c r="P103" s="46"/>
      <c r="Q103" s="46"/>
      <c r="R103" s="46"/>
      <c r="S103" s="46"/>
      <c r="T103" s="46"/>
      <c r="U103" s="46"/>
      <c r="V103" s="46"/>
      <c r="W103" s="46"/>
      <c r="X103" s="46"/>
      <c r="AT103" s="551">
        <v>13</v>
      </c>
      <c r="AU103" s="552">
        <v>13.11</v>
      </c>
    </row>
    <row r="104" spans="1:47" ht="16.5" customHeight="1">
      <c r="A104" s="46"/>
      <c r="B104" s="46"/>
      <c r="C104" s="46"/>
      <c r="D104" s="27"/>
      <c r="E104" s="27"/>
      <c r="F104" s="154"/>
      <c r="G104" s="154"/>
      <c r="H104" s="155"/>
      <c r="I104" s="155"/>
      <c r="J104" s="155"/>
      <c r="K104" s="46"/>
      <c r="L104" s="46"/>
      <c r="M104" s="27"/>
      <c r="N104" s="27"/>
      <c r="O104" s="46"/>
      <c r="P104" s="46"/>
      <c r="Q104" s="46"/>
      <c r="R104" s="46"/>
      <c r="S104" s="46"/>
      <c r="T104" s="46"/>
      <c r="U104" s="46"/>
      <c r="V104" s="46"/>
      <c r="W104" s="46"/>
      <c r="X104" s="46"/>
      <c r="AT104" s="551">
        <v>13.1</v>
      </c>
      <c r="AU104" s="552">
        <v>13.22</v>
      </c>
    </row>
    <row r="105" spans="1:47" ht="16.5" customHeight="1">
      <c r="A105" s="46"/>
      <c r="B105" s="46"/>
      <c r="C105" s="46"/>
      <c r="D105" s="27"/>
      <c r="E105" s="27"/>
      <c r="F105" s="154"/>
      <c r="G105" s="154"/>
      <c r="H105" s="155"/>
      <c r="I105" s="155"/>
      <c r="J105" s="155"/>
      <c r="K105" s="46"/>
      <c r="L105" s="46"/>
      <c r="M105" s="27"/>
      <c r="N105" s="27"/>
      <c r="O105" s="46"/>
      <c r="P105" s="46"/>
      <c r="Q105" s="46"/>
      <c r="R105" s="46"/>
      <c r="S105" s="46"/>
      <c r="T105" s="46"/>
      <c r="U105" s="46"/>
      <c r="V105" s="46"/>
      <c r="W105" s="46"/>
      <c r="X105" s="46"/>
      <c r="AT105" s="551">
        <v>13.2</v>
      </c>
      <c r="AU105" s="552">
        <v>13.32</v>
      </c>
    </row>
    <row r="106" spans="1:47" ht="16.5" customHeight="1">
      <c r="A106" s="46"/>
      <c r="B106" s="46"/>
      <c r="C106" s="46"/>
      <c r="D106" s="156"/>
      <c r="E106" s="154"/>
      <c r="F106" s="154"/>
      <c r="G106" s="154"/>
      <c r="H106" s="155"/>
      <c r="I106" s="155"/>
      <c r="J106" s="155"/>
      <c r="K106" s="46"/>
      <c r="L106" s="46"/>
      <c r="M106" s="27"/>
      <c r="N106" s="27"/>
      <c r="O106" s="46"/>
      <c r="P106" s="46"/>
      <c r="Q106" s="46"/>
      <c r="R106" s="46"/>
      <c r="S106" s="46"/>
      <c r="T106" s="46"/>
      <c r="U106" s="46"/>
      <c r="V106" s="46"/>
      <c r="W106" s="46"/>
      <c r="X106" s="46"/>
      <c r="AT106" s="551">
        <v>13.3</v>
      </c>
      <c r="AU106" s="552">
        <v>13.43</v>
      </c>
    </row>
    <row r="107" spans="1:47" ht="16.5" customHeight="1">
      <c r="A107" s="46"/>
      <c r="B107" s="46"/>
      <c r="C107" s="46"/>
      <c r="D107" s="156"/>
      <c r="E107" s="154"/>
      <c r="F107" s="154"/>
      <c r="G107" s="154"/>
      <c r="H107" s="155"/>
      <c r="I107" s="155"/>
      <c r="J107" s="155"/>
      <c r="K107" s="46"/>
      <c r="L107" s="46"/>
      <c r="M107" s="27"/>
      <c r="N107" s="27"/>
      <c r="O107" s="46"/>
      <c r="P107" s="46"/>
      <c r="Q107" s="46"/>
      <c r="R107" s="46"/>
      <c r="S107" s="46"/>
      <c r="T107" s="46"/>
      <c r="U107" s="46"/>
      <c r="V107" s="46"/>
      <c r="W107" s="46"/>
      <c r="X107" s="46"/>
      <c r="AT107" s="551">
        <v>13.4</v>
      </c>
      <c r="AU107" s="552">
        <v>13.54</v>
      </c>
    </row>
    <row r="108" spans="1:47" ht="16.5" customHeight="1">
      <c r="A108" s="46"/>
      <c r="D108" s="156"/>
      <c r="E108" s="154"/>
      <c r="F108" s="157"/>
      <c r="G108" s="154"/>
      <c r="H108" s="155"/>
      <c r="I108" s="158"/>
      <c r="J108" s="158"/>
      <c r="M108" s="27"/>
      <c r="N108" s="27"/>
      <c r="O108" s="46"/>
      <c r="AT108" s="551">
        <v>13.5</v>
      </c>
      <c r="AU108" s="552">
        <v>13.64</v>
      </c>
    </row>
    <row r="109" spans="1:47" ht="16.5" customHeight="1">
      <c r="A109" s="46"/>
      <c r="D109" s="159"/>
      <c r="E109" s="157"/>
      <c r="F109" s="157"/>
      <c r="G109" s="154"/>
      <c r="H109" s="155"/>
      <c r="I109" s="158"/>
      <c r="J109" s="158"/>
      <c r="M109" s="27"/>
      <c r="N109" s="27"/>
      <c r="O109" s="46"/>
      <c r="AT109" s="551">
        <v>13.6</v>
      </c>
      <c r="AU109" s="552">
        <v>13.75</v>
      </c>
    </row>
    <row r="110" spans="1:47" ht="16.5" customHeight="1">
      <c r="A110" s="46"/>
      <c r="D110" s="159"/>
      <c r="E110" s="157"/>
      <c r="F110" s="157"/>
      <c r="G110" s="154"/>
      <c r="H110" s="155"/>
      <c r="I110" s="158"/>
      <c r="J110" s="158"/>
      <c r="M110" s="27"/>
      <c r="N110" s="27"/>
      <c r="O110" s="46"/>
      <c r="AT110" s="551">
        <v>13.7</v>
      </c>
      <c r="AU110" s="552">
        <v>13.85</v>
      </c>
    </row>
    <row r="111" spans="1:47" ht="16.5" customHeight="1">
      <c r="A111" s="46"/>
      <c r="D111" s="159"/>
      <c r="E111" s="157"/>
      <c r="F111" s="157"/>
      <c r="G111" s="154"/>
      <c r="H111" s="155"/>
      <c r="I111" s="158"/>
      <c r="J111" s="158"/>
      <c r="M111" s="27"/>
      <c r="N111" s="27"/>
      <c r="O111" s="46"/>
      <c r="AT111" s="551">
        <v>13.8</v>
      </c>
      <c r="AU111" s="552">
        <v>13.97</v>
      </c>
    </row>
    <row r="112" spans="1:47" ht="16.5" customHeight="1">
      <c r="A112" s="46"/>
      <c r="D112" s="159"/>
      <c r="E112" s="157"/>
      <c r="F112" s="157"/>
      <c r="G112" s="154"/>
      <c r="H112" s="155"/>
      <c r="I112" s="158"/>
      <c r="J112" s="158"/>
      <c r="M112" s="27"/>
      <c r="N112" s="27"/>
      <c r="O112" s="46"/>
      <c r="AT112" s="551">
        <v>13.9</v>
      </c>
      <c r="AU112" s="552">
        <v>14.07</v>
      </c>
    </row>
    <row r="113" spans="1:47" ht="16.5" customHeight="1">
      <c r="A113" s="46"/>
      <c r="D113" s="159"/>
      <c r="E113" s="157"/>
      <c r="F113" s="157"/>
      <c r="G113" s="154"/>
      <c r="H113" s="155"/>
      <c r="I113" s="158"/>
      <c r="J113" s="158"/>
      <c r="M113" s="27"/>
      <c r="N113" s="27"/>
      <c r="O113" s="46"/>
      <c r="AT113" s="551">
        <v>14</v>
      </c>
      <c r="AU113" s="552">
        <v>14.18</v>
      </c>
    </row>
    <row r="114" spans="1:47" ht="16.5" customHeight="1">
      <c r="A114" s="46"/>
      <c r="D114" s="159"/>
      <c r="E114" s="157"/>
      <c r="F114" s="157"/>
      <c r="G114" s="154"/>
      <c r="H114" s="155"/>
      <c r="I114" s="158"/>
      <c r="J114" s="158"/>
      <c r="M114" s="27"/>
      <c r="N114" s="27"/>
      <c r="O114" s="46"/>
      <c r="AT114" s="551">
        <v>14.1</v>
      </c>
      <c r="AU114" s="552">
        <v>14.28</v>
      </c>
    </row>
    <row r="115" spans="1:47" ht="16.5" customHeight="1">
      <c r="A115" s="46"/>
      <c r="D115" s="159"/>
      <c r="E115" s="157"/>
      <c r="F115" s="157"/>
      <c r="G115" s="154"/>
      <c r="H115" s="155"/>
      <c r="I115" s="158"/>
      <c r="J115" s="158"/>
      <c r="M115" s="27"/>
      <c r="N115" s="27"/>
      <c r="O115" s="46"/>
      <c r="AT115" s="551">
        <v>14.2</v>
      </c>
      <c r="AU115" s="552">
        <v>14.39</v>
      </c>
    </row>
    <row r="116" spans="1:47" ht="16.5" customHeight="1">
      <c r="A116" s="46"/>
      <c r="D116" s="159"/>
      <c r="E116" s="157"/>
      <c r="F116" s="157"/>
      <c r="G116" s="154"/>
      <c r="H116" s="155"/>
      <c r="I116" s="158"/>
      <c r="J116" s="158"/>
      <c r="M116" s="27"/>
      <c r="N116" s="27"/>
      <c r="O116" s="46"/>
      <c r="AT116" s="551">
        <v>14.3</v>
      </c>
      <c r="AU116" s="552">
        <v>14.5</v>
      </c>
    </row>
    <row r="117" spans="1:47" ht="16.5" customHeight="1">
      <c r="D117" s="159"/>
      <c r="E117" s="157"/>
      <c r="F117" s="157"/>
      <c r="G117" s="154"/>
      <c r="H117" s="155"/>
      <c r="I117" s="158"/>
      <c r="J117" s="158"/>
      <c r="M117" s="27"/>
      <c r="N117" s="27"/>
      <c r="O117" s="46"/>
      <c r="AT117" s="551">
        <v>14.4</v>
      </c>
      <c r="AU117" s="552">
        <v>14.61</v>
      </c>
    </row>
    <row r="118" spans="1:47" ht="16.5" customHeight="1">
      <c r="D118" s="159"/>
      <c r="E118" s="157"/>
      <c r="F118" s="157"/>
      <c r="G118" s="154"/>
      <c r="H118" s="155"/>
      <c r="I118" s="158"/>
      <c r="J118" s="158"/>
      <c r="M118" s="27"/>
      <c r="N118" s="27"/>
      <c r="O118" s="46"/>
      <c r="AT118" s="551">
        <v>14.5</v>
      </c>
      <c r="AU118" s="552">
        <v>14.72</v>
      </c>
    </row>
    <row r="119" spans="1:47" ht="16.5" customHeight="1">
      <c r="D119" s="159"/>
      <c r="E119" s="157"/>
      <c r="F119" s="157"/>
      <c r="G119" s="154"/>
      <c r="H119" s="155"/>
      <c r="I119" s="158"/>
      <c r="J119" s="158"/>
      <c r="M119" s="27"/>
      <c r="N119" s="27"/>
      <c r="O119" s="46"/>
      <c r="AT119" s="551">
        <v>14.6</v>
      </c>
      <c r="AU119" s="552">
        <v>14.82</v>
      </c>
    </row>
    <row r="120" spans="1:47" ht="16.5" customHeight="1">
      <c r="D120" s="159"/>
      <c r="E120" s="157"/>
      <c r="F120" s="157"/>
      <c r="G120" s="157"/>
      <c r="H120" s="158"/>
      <c r="I120" s="158"/>
      <c r="J120" s="158"/>
      <c r="M120" s="27"/>
      <c r="N120" s="27"/>
      <c r="O120" s="46"/>
      <c r="AT120" s="551">
        <v>14.7</v>
      </c>
      <c r="AU120" s="552">
        <v>14.93</v>
      </c>
    </row>
    <row r="121" spans="1:47" ht="16.5" customHeight="1">
      <c r="D121" s="159"/>
      <c r="E121" s="157"/>
      <c r="F121" s="158"/>
      <c r="G121" s="157"/>
      <c r="H121" s="158"/>
      <c r="I121" s="158"/>
      <c r="J121" s="158"/>
      <c r="M121" s="27"/>
      <c r="N121" s="27"/>
      <c r="O121" s="46"/>
      <c r="AT121" s="551">
        <v>14.8</v>
      </c>
      <c r="AU121" s="552">
        <v>15.03</v>
      </c>
    </row>
    <row r="122" spans="1:47" ht="16.5" customHeight="1">
      <c r="D122" s="160"/>
      <c r="E122" s="161"/>
      <c r="F122" s="158"/>
      <c r="G122" s="157"/>
      <c r="H122" s="158"/>
      <c r="I122" s="158"/>
      <c r="J122" s="158"/>
      <c r="M122" s="27"/>
      <c r="N122" s="27"/>
      <c r="O122" s="46"/>
      <c r="AT122" s="551">
        <v>14.9</v>
      </c>
      <c r="AU122" s="552">
        <v>15.14</v>
      </c>
    </row>
    <row r="123" spans="1:47" ht="16.5" customHeight="1">
      <c r="D123" s="160"/>
      <c r="E123" s="161"/>
      <c r="F123" s="158"/>
      <c r="G123" s="157"/>
      <c r="H123" s="158"/>
      <c r="I123" s="158"/>
      <c r="J123" s="158"/>
      <c r="M123" s="27"/>
      <c r="N123" s="27"/>
      <c r="O123" s="46"/>
      <c r="AT123" s="551">
        <v>15</v>
      </c>
      <c r="AU123" s="552">
        <v>15.25</v>
      </c>
    </row>
    <row r="124" spans="1:47" ht="16.5" customHeight="1">
      <c r="D124" s="160"/>
      <c r="E124" s="161"/>
      <c r="F124" s="158"/>
      <c r="G124" s="157"/>
      <c r="H124" s="158"/>
      <c r="I124" s="158"/>
      <c r="J124" s="158"/>
      <c r="M124" s="27"/>
      <c r="N124" s="27"/>
      <c r="O124" s="46"/>
      <c r="AT124" s="551">
        <v>15.1</v>
      </c>
      <c r="AU124" s="552">
        <v>15.36</v>
      </c>
    </row>
    <row r="125" spans="1:47" ht="16.5" customHeight="1">
      <c r="D125" s="160"/>
      <c r="E125" s="161"/>
      <c r="F125" s="158"/>
      <c r="G125" s="157"/>
      <c r="H125" s="158"/>
      <c r="I125" s="158"/>
      <c r="J125" s="158"/>
      <c r="M125" s="27"/>
      <c r="N125" s="27"/>
      <c r="O125" s="46"/>
      <c r="AT125" s="551">
        <v>15.2</v>
      </c>
      <c r="AU125" s="552">
        <v>15.47</v>
      </c>
    </row>
    <row r="126" spans="1:47" ht="16.5" customHeight="1">
      <c r="D126" s="160"/>
      <c r="E126" s="161"/>
      <c r="F126" s="158"/>
      <c r="G126" s="157"/>
      <c r="H126" s="158"/>
      <c r="I126" s="158"/>
      <c r="J126" s="158"/>
      <c r="M126" s="27"/>
      <c r="N126" s="27"/>
      <c r="O126" s="46"/>
      <c r="AT126" s="551">
        <v>15.3</v>
      </c>
      <c r="AU126" s="552">
        <v>15.57</v>
      </c>
    </row>
    <row r="127" spans="1:47" ht="16.5" customHeight="1">
      <c r="D127" s="160"/>
      <c r="E127" s="161"/>
      <c r="F127" s="158"/>
      <c r="G127" s="157"/>
      <c r="H127" s="158"/>
      <c r="I127" s="158"/>
      <c r="J127" s="158"/>
      <c r="M127" s="27"/>
      <c r="N127" s="27"/>
      <c r="O127" s="46"/>
      <c r="AT127" s="551">
        <v>15.4</v>
      </c>
      <c r="AU127" s="552">
        <v>15.69</v>
      </c>
    </row>
    <row r="128" spans="1:47" ht="16.5" customHeight="1">
      <c r="D128" s="160"/>
      <c r="E128" s="161"/>
      <c r="F128" s="158"/>
      <c r="G128" s="157"/>
      <c r="H128" s="158"/>
      <c r="I128" s="158"/>
      <c r="J128" s="158"/>
      <c r="M128" s="27"/>
      <c r="N128" s="27"/>
      <c r="O128" s="46"/>
      <c r="AT128" s="551">
        <v>15.5</v>
      </c>
      <c r="AU128" s="552">
        <v>15.79</v>
      </c>
    </row>
    <row r="129" spans="4:47" ht="16.5" customHeight="1">
      <c r="D129" s="160"/>
      <c r="E129" s="161"/>
      <c r="F129" s="158"/>
      <c r="G129" s="157"/>
      <c r="H129" s="158"/>
      <c r="I129" s="158"/>
      <c r="J129" s="158"/>
      <c r="M129" s="27"/>
      <c r="N129" s="27"/>
      <c r="O129" s="46"/>
      <c r="AT129" s="551">
        <v>15.6</v>
      </c>
      <c r="AU129" s="552">
        <v>15.9</v>
      </c>
    </row>
    <row r="130" spans="4:47" ht="16.5" customHeight="1">
      <c r="D130" s="160"/>
      <c r="E130" s="161"/>
      <c r="F130" s="158"/>
      <c r="G130" s="157"/>
      <c r="H130" s="158"/>
      <c r="I130" s="158"/>
      <c r="J130" s="158"/>
      <c r="M130" s="27"/>
      <c r="N130" s="27"/>
      <c r="O130" s="46"/>
      <c r="AT130" s="551">
        <v>15.7</v>
      </c>
      <c r="AU130" s="552">
        <v>16</v>
      </c>
    </row>
    <row r="131" spans="4:47" ht="16.5" customHeight="1">
      <c r="D131" s="160"/>
      <c r="E131" s="161"/>
      <c r="F131" s="158"/>
      <c r="G131" s="157"/>
      <c r="H131" s="158"/>
      <c r="I131" s="158"/>
      <c r="J131" s="158"/>
      <c r="M131" s="27"/>
      <c r="N131" s="27"/>
      <c r="O131" s="46"/>
      <c r="AT131" s="551">
        <v>15.8</v>
      </c>
      <c r="AU131" s="552">
        <v>16.11</v>
      </c>
    </row>
    <row r="132" spans="4:47" ht="16.5" customHeight="1">
      <c r="D132" s="160"/>
      <c r="E132" s="161"/>
      <c r="F132" s="158"/>
      <c r="G132" s="157"/>
      <c r="H132" s="158"/>
      <c r="I132" s="158"/>
      <c r="J132" s="158"/>
      <c r="M132" s="27"/>
      <c r="N132" s="27"/>
      <c r="O132" s="46"/>
      <c r="AT132" s="551">
        <v>15.9</v>
      </c>
      <c r="AU132" s="552">
        <v>16.22</v>
      </c>
    </row>
    <row r="133" spans="4:47" ht="16.5" customHeight="1">
      <c r="D133" s="160"/>
      <c r="E133" s="161"/>
      <c r="F133" s="158"/>
      <c r="G133" s="158"/>
      <c r="H133" s="158"/>
      <c r="I133" s="158"/>
      <c r="J133" s="158"/>
      <c r="M133" s="27"/>
      <c r="N133" s="27"/>
      <c r="O133" s="46"/>
      <c r="AT133" s="551">
        <v>16</v>
      </c>
      <c r="AU133" s="552">
        <v>16.34</v>
      </c>
    </row>
    <row r="134" spans="4:47" ht="16.5" customHeight="1">
      <c r="D134" s="160"/>
      <c r="E134" s="161"/>
      <c r="F134" s="158"/>
      <c r="G134" s="158"/>
      <c r="H134" s="158"/>
      <c r="I134" s="158"/>
      <c r="J134" s="158"/>
      <c r="M134" s="27"/>
      <c r="N134" s="27"/>
      <c r="O134" s="46"/>
      <c r="AT134" s="551">
        <v>16.100000000000001</v>
      </c>
      <c r="AU134" s="552">
        <v>16.45</v>
      </c>
    </row>
    <row r="135" spans="4:47" ht="16.5" customHeight="1">
      <c r="D135" s="160"/>
      <c r="E135" s="161"/>
      <c r="F135" s="158"/>
      <c r="G135" s="158"/>
      <c r="H135" s="158"/>
      <c r="I135" s="158"/>
      <c r="J135" s="158"/>
      <c r="M135" s="27"/>
      <c r="N135" s="27"/>
      <c r="O135" s="46"/>
      <c r="AT135" s="551">
        <v>16.2</v>
      </c>
      <c r="AU135" s="552">
        <v>16.559999999999999</v>
      </c>
    </row>
    <row r="136" spans="4:47" ht="16.5" customHeight="1">
      <c r="D136" s="160"/>
      <c r="E136" s="161"/>
      <c r="F136" s="158"/>
      <c r="G136" s="158"/>
      <c r="H136" s="158"/>
      <c r="I136" s="158"/>
      <c r="J136" s="158"/>
      <c r="M136" s="27"/>
      <c r="N136" s="27"/>
      <c r="O136" s="46"/>
      <c r="AT136" s="551">
        <v>16.3</v>
      </c>
      <c r="AU136" s="552">
        <v>16.670000000000002</v>
      </c>
    </row>
    <row r="137" spans="4:47" ht="16.5" customHeight="1">
      <c r="D137" s="160"/>
      <c r="E137" s="161"/>
      <c r="F137" s="158"/>
      <c r="G137" s="158"/>
      <c r="H137" s="158"/>
      <c r="I137" s="158"/>
      <c r="J137" s="158"/>
      <c r="M137" s="27"/>
      <c r="N137" s="27"/>
      <c r="O137" s="46"/>
      <c r="AT137" s="551">
        <v>16.399999999999999</v>
      </c>
      <c r="AU137" s="552">
        <v>16.77</v>
      </c>
    </row>
    <row r="138" spans="4:47" ht="16.5" customHeight="1">
      <c r="D138" s="160"/>
      <c r="E138" s="161"/>
      <c r="F138" s="158"/>
      <c r="G138" s="158"/>
      <c r="H138" s="158"/>
      <c r="I138" s="158"/>
      <c r="J138" s="158"/>
      <c r="M138" s="27"/>
      <c r="N138" s="27"/>
      <c r="O138" s="46"/>
      <c r="AT138" s="551">
        <v>16.5</v>
      </c>
      <c r="AU138" s="552">
        <v>16.88</v>
      </c>
    </row>
    <row r="139" spans="4:47" ht="16.5" customHeight="1">
      <c r="D139" s="160"/>
      <c r="E139" s="161"/>
      <c r="F139" s="158"/>
      <c r="G139" s="158"/>
      <c r="H139" s="158"/>
      <c r="I139" s="158"/>
      <c r="J139" s="158"/>
      <c r="M139" s="27"/>
      <c r="N139" s="27"/>
      <c r="O139" s="46"/>
      <c r="AT139" s="551">
        <v>16.600000000000001</v>
      </c>
      <c r="AU139" s="552">
        <v>16.989999999999998</v>
      </c>
    </row>
    <row r="140" spans="4:47" ht="16.5" customHeight="1">
      <c r="D140" s="160"/>
      <c r="E140" s="161"/>
      <c r="F140" s="158"/>
      <c r="G140" s="158"/>
      <c r="H140" s="158"/>
      <c r="I140" s="158"/>
      <c r="J140" s="158"/>
      <c r="M140" s="27"/>
      <c r="N140" s="27"/>
      <c r="O140" s="46"/>
      <c r="AT140" s="551">
        <v>16.7</v>
      </c>
      <c r="AU140" s="552">
        <v>17.100000000000001</v>
      </c>
    </row>
    <row r="141" spans="4:47" ht="16.5" customHeight="1">
      <c r="D141" s="160"/>
      <c r="E141" s="161"/>
      <c r="F141" s="158"/>
      <c r="G141" s="158"/>
      <c r="H141" s="158"/>
      <c r="I141" s="158"/>
      <c r="J141" s="158"/>
      <c r="M141" s="27"/>
      <c r="N141" s="27"/>
      <c r="O141" s="46"/>
      <c r="AT141" s="551">
        <v>16.8</v>
      </c>
      <c r="AU141" s="552">
        <v>17.21</v>
      </c>
    </row>
    <row r="142" spans="4:47" ht="16.5" customHeight="1">
      <c r="D142" s="160"/>
      <c r="E142" s="161"/>
      <c r="F142" s="158"/>
      <c r="G142" s="158"/>
      <c r="H142" s="158"/>
      <c r="I142" s="158"/>
      <c r="J142" s="158"/>
      <c r="M142" s="27"/>
      <c r="N142" s="27"/>
      <c r="O142" s="46"/>
      <c r="AT142" s="551">
        <v>16.899999999999999</v>
      </c>
      <c r="AU142" s="552">
        <v>17.309999999999999</v>
      </c>
    </row>
    <row r="143" spans="4:47" ht="16.5" customHeight="1">
      <c r="D143" s="160"/>
      <c r="E143" s="161"/>
      <c r="F143" s="158"/>
      <c r="G143" s="158"/>
      <c r="H143" s="158"/>
      <c r="I143" s="158"/>
      <c r="J143" s="158"/>
      <c r="M143" s="27"/>
      <c r="N143" s="27"/>
      <c r="O143" s="46"/>
      <c r="AT143" s="551">
        <v>17</v>
      </c>
      <c r="AU143" s="552">
        <v>17.43</v>
      </c>
    </row>
    <row r="144" spans="4:47" ht="16.5" customHeight="1">
      <c r="D144" s="160"/>
      <c r="E144" s="161"/>
      <c r="F144" s="158"/>
      <c r="G144" s="158"/>
      <c r="H144" s="158"/>
      <c r="I144" s="158"/>
      <c r="J144" s="158"/>
      <c r="M144" s="27"/>
      <c r="N144" s="27"/>
      <c r="O144" s="46"/>
      <c r="AT144" s="551">
        <v>17.100000000000001</v>
      </c>
      <c r="AU144" s="552">
        <v>17.54</v>
      </c>
    </row>
    <row r="145" spans="4:47" ht="16.5" customHeight="1">
      <c r="D145" s="160"/>
      <c r="E145" s="161"/>
      <c r="F145" s="158"/>
      <c r="G145" s="158"/>
      <c r="H145" s="158"/>
      <c r="I145" s="158"/>
      <c r="J145" s="158"/>
      <c r="M145" s="27"/>
      <c r="N145" s="27"/>
      <c r="O145" s="46"/>
      <c r="AT145" s="551">
        <v>17.2</v>
      </c>
      <c r="AU145" s="552">
        <v>17.649999999999999</v>
      </c>
    </row>
    <row r="146" spans="4:47" ht="16.5" customHeight="1">
      <c r="D146" s="160"/>
      <c r="E146" s="161"/>
      <c r="F146" s="158"/>
      <c r="G146" s="158"/>
      <c r="H146" s="158"/>
      <c r="I146" s="158"/>
      <c r="J146" s="158"/>
      <c r="M146" s="27"/>
      <c r="N146" s="27"/>
      <c r="O146" s="46"/>
      <c r="AT146" s="551">
        <v>17.3</v>
      </c>
      <c r="AU146" s="552">
        <v>17.760000000000002</v>
      </c>
    </row>
    <row r="147" spans="4:47" ht="16.5" customHeight="1">
      <c r="D147" s="160"/>
      <c r="E147" s="161"/>
      <c r="F147" s="158"/>
      <c r="G147" s="158"/>
      <c r="H147" s="158"/>
      <c r="I147" s="158"/>
      <c r="J147" s="158"/>
      <c r="M147" s="27"/>
      <c r="N147" s="27"/>
      <c r="O147" s="46"/>
      <c r="AT147" s="551">
        <v>17.399999999999999</v>
      </c>
      <c r="AU147" s="552">
        <v>17.87</v>
      </c>
    </row>
    <row r="148" spans="4:47" ht="16.5" customHeight="1">
      <c r="D148" s="160"/>
      <c r="E148" s="161"/>
      <c r="F148" s="158"/>
      <c r="G148" s="158"/>
      <c r="H148" s="158"/>
      <c r="I148" s="158"/>
      <c r="J148" s="158"/>
      <c r="M148" s="27"/>
      <c r="N148" s="27"/>
      <c r="O148" s="46"/>
      <c r="AT148" s="551">
        <v>17.5</v>
      </c>
      <c r="AU148" s="552">
        <v>17.97</v>
      </c>
    </row>
    <row r="149" spans="4:47" ht="16.5" customHeight="1">
      <c r="D149" s="160"/>
      <c r="E149" s="161"/>
      <c r="F149" s="158"/>
      <c r="G149" s="158"/>
      <c r="H149" s="158"/>
      <c r="I149" s="158"/>
      <c r="J149" s="158"/>
      <c r="M149" s="27"/>
      <c r="N149" s="27"/>
      <c r="O149" s="46"/>
      <c r="AT149" s="551">
        <v>17.600000000000001</v>
      </c>
      <c r="AU149" s="552">
        <v>18.079999999999998</v>
      </c>
    </row>
    <row r="150" spans="4:47" ht="16.5" customHeight="1">
      <c r="D150" s="160"/>
      <c r="E150" s="161"/>
      <c r="F150" s="158"/>
      <c r="G150" s="158"/>
      <c r="H150" s="158"/>
      <c r="I150" s="158"/>
      <c r="J150" s="158"/>
      <c r="M150" s="27"/>
      <c r="N150" s="27"/>
      <c r="O150" s="46"/>
      <c r="AT150" s="551">
        <v>17.7</v>
      </c>
      <c r="AU150" s="552">
        <v>18.190000000000001</v>
      </c>
    </row>
    <row r="151" spans="4:47" ht="16.5" customHeight="1">
      <c r="D151" s="160"/>
      <c r="E151" s="161"/>
      <c r="F151" s="158"/>
      <c r="G151" s="158"/>
      <c r="H151" s="158"/>
      <c r="I151" s="158"/>
      <c r="J151" s="158"/>
      <c r="M151" s="27"/>
      <c r="N151" s="27"/>
      <c r="O151" s="46"/>
      <c r="AT151" s="551">
        <v>17.8</v>
      </c>
      <c r="AU151" s="552">
        <v>18.309999999999999</v>
      </c>
    </row>
    <row r="152" spans="4:47" ht="16.5" customHeight="1">
      <c r="D152" s="159"/>
      <c r="E152" s="161"/>
      <c r="F152" s="158"/>
      <c r="G152" s="158"/>
      <c r="H152" s="158"/>
      <c r="I152" s="158"/>
      <c r="J152" s="158"/>
      <c r="M152" s="27"/>
      <c r="N152" s="27"/>
      <c r="O152" s="46"/>
      <c r="AT152" s="551">
        <v>17.899999999999999</v>
      </c>
      <c r="AU152" s="552">
        <v>18.43</v>
      </c>
    </row>
    <row r="153" spans="4:47" ht="16.5" customHeight="1">
      <c r="D153" s="159"/>
      <c r="E153" s="161"/>
      <c r="F153" s="158"/>
      <c r="G153" s="158"/>
      <c r="H153" s="158"/>
      <c r="I153" s="158"/>
      <c r="J153" s="158"/>
      <c r="M153" s="27"/>
      <c r="N153" s="27"/>
      <c r="O153" s="46"/>
      <c r="AT153" s="551">
        <v>18</v>
      </c>
      <c r="AU153" s="552">
        <v>18.53</v>
      </c>
    </row>
    <row r="154" spans="4:47" ht="16.5" customHeight="1">
      <c r="D154" s="159"/>
      <c r="E154" s="161"/>
      <c r="F154" s="158"/>
      <c r="G154" s="158"/>
      <c r="H154" s="158"/>
      <c r="I154" s="158"/>
      <c r="J154" s="158"/>
      <c r="M154" s="27"/>
      <c r="N154" s="27"/>
      <c r="O154" s="46"/>
      <c r="AT154" s="551">
        <v>18.100000000000001</v>
      </c>
      <c r="AU154" s="552">
        <v>18.64</v>
      </c>
    </row>
    <row r="155" spans="4:47" ht="16.5" customHeight="1">
      <c r="D155" s="159"/>
      <c r="E155" s="161"/>
      <c r="F155" s="158"/>
      <c r="G155" s="158"/>
      <c r="H155" s="158"/>
      <c r="I155" s="158"/>
      <c r="J155" s="158"/>
      <c r="M155" s="27"/>
      <c r="N155" s="27"/>
      <c r="O155" s="46"/>
      <c r="AT155" s="551">
        <v>18.2</v>
      </c>
      <c r="AU155" s="552">
        <v>18.75</v>
      </c>
    </row>
    <row r="156" spans="4:47" ht="16.5" customHeight="1">
      <c r="D156" s="159"/>
      <c r="E156" s="161"/>
      <c r="F156" s="158"/>
      <c r="G156" s="158"/>
      <c r="H156" s="158"/>
      <c r="I156" s="158"/>
      <c r="J156" s="158"/>
      <c r="M156" s="27"/>
      <c r="N156" s="27"/>
      <c r="O156" s="46"/>
      <c r="AT156" s="551">
        <v>18.3</v>
      </c>
      <c r="AU156" s="552">
        <v>18.86</v>
      </c>
    </row>
    <row r="157" spans="4:47" ht="16.5" customHeight="1">
      <c r="D157" s="159"/>
      <c r="E157" s="161"/>
      <c r="F157" s="158"/>
      <c r="G157" s="158"/>
      <c r="H157" s="158"/>
      <c r="I157" s="158"/>
      <c r="J157" s="158"/>
      <c r="M157" s="27"/>
      <c r="N157" s="27"/>
      <c r="O157" s="46"/>
      <c r="AT157" s="551">
        <v>18.399999999999999</v>
      </c>
      <c r="AU157" s="552">
        <v>18.97</v>
      </c>
    </row>
    <row r="158" spans="4:47" ht="16.5" customHeight="1">
      <c r="D158" s="159"/>
      <c r="E158" s="161"/>
      <c r="F158" s="158"/>
      <c r="G158" s="158"/>
      <c r="H158" s="158"/>
      <c r="I158" s="158"/>
      <c r="J158" s="158"/>
      <c r="N158" s="27"/>
      <c r="AT158" s="551">
        <v>18.5</v>
      </c>
      <c r="AU158" s="552">
        <v>19.079999999999998</v>
      </c>
    </row>
    <row r="159" spans="4:47" ht="16.5" customHeight="1">
      <c r="D159" s="159"/>
      <c r="E159" s="161"/>
      <c r="F159" s="158"/>
      <c r="G159" s="158"/>
      <c r="H159" s="158"/>
      <c r="I159" s="158"/>
      <c r="J159" s="158"/>
      <c r="AT159" s="551">
        <v>18.600000000000001</v>
      </c>
      <c r="AU159" s="552">
        <v>19.190000000000001</v>
      </c>
    </row>
    <row r="160" spans="4:47" ht="16.5" customHeight="1">
      <c r="D160" s="159"/>
      <c r="E160" s="161"/>
      <c r="F160" s="158"/>
      <c r="G160" s="158"/>
      <c r="H160" s="158"/>
      <c r="I160" s="158"/>
      <c r="J160" s="158"/>
      <c r="AT160" s="551">
        <v>18.7</v>
      </c>
      <c r="AU160" s="552">
        <v>19.309999999999999</v>
      </c>
    </row>
    <row r="161" spans="4:47" ht="16.5" customHeight="1">
      <c r="D161" s="159"/>
      <c r="E161" s="161"/>
      <c r="F161" s="158"/>
      <c r="G161" s="158"/>
      <c r="H161" s="158"/>
      <c r="I161" s="158"/>
      <c r="J161" s="158"/>
      <c r="AT161" s="551">
        <v>18.8</v>
      </c>
      <c r="AU161" s="552">
        <v>19.420000000000002</v>
      </c>
    </row>
    <row r="162" spans="4:47" ht="16.5" customHeight="1">
      <c r="D162" s="159"/>
      <c r="E162" s="161"/>
      <c r="F162" s="158"/>
      <c r="G162" s="158"/>
      <c r="H162" s="158"/>
      <c r="I162" s="158"/>
      <c r="J162" s="158"/>
      <c r="AT162" s="551">
        <v>18.899999999999999</v>
      </c>
      <c r="AU162" s="552">
        <v>19.53</v>
      </c>
    </row>
    <row r="163" spans="4:47" ht="16.5" customHeight="1">
      <c r="D163" s="159"/>
      <c r="E163" s="161"/>
      <c r="F163" s="158"/>
      <c r="G163" s="158"/>
      <c r="H163" s="158"/>
      <c r="I163" s="158"/>
      <c r="J163" s="158"/>
      <c r="AT163" s="551">
        <v>19</v>
      </c>
      <c r="AU163" s="552">
        <v>19.64</v>
      </c>
    </row>
    <row r="164" spans="4:47" ht="16.5" customHeight="1">
      <c r="D164" s="159"/>
      <c r="E164" s="161"/>
      <c r="F164" s="158"/>
      <c r="G164" s="158"/>
      <c r="H164" s="158"/>
      <c r="I164" s="158"/>
      <c r="J164" s="158"/>
      <c r="AT164" s="551">
        <v>19.100000000000001</v>
      </c>
      <c r="AU164" s="552">
        <v>19.75</v>
      </c>
    </row>
    <row r="165" spans="4:47" ht="16.5" customHeight="1">
      <c r="D165" s="159"/>
      <c r="E165" s="161"/>
      <c r="F165" s="158"/>
      <c r="G165" s="158"/>
      <c r="H165" s="158"/>
      <c r="I165" s="158"/>
      <c r="J165" s="158"/>
      <c r="AT165" s="551">
        <v>19.2</v>
      </c>
      <c r="AU165" s="552">
        <v>19.86</v>
      </c>
    </row>
    <row r="166" spans="4:47" ht="16.5" customHeight="1">
      <c r="D166" s="159"/>
      <c r="E166" s="161"/>
      <c r="F166" s="158"/>
      <c r="G166" s="158"/>
      <c r="H166" s="158"/>
      <c r="I166" s="158"/>
      <c r="J166" s="158"/>
      <c r="AT166" s="551">
        <v>19.3</v>
      </c>
      <c r="AU166" s="552">
        <v>19.97</v>
      </c>
    </row>
    <row r="167" spans="4:47" ht="16.5" customHeight="1">
      <c r="D167" s="159"/>
      <c r="E167" s="161"/>
      <c r="F167" s="158"/>
      <c r="G167" s="158"/>
      <c r="H167" s="158"/>
      <c r="I167" s="158"/>
      <c r="J167" s="158"/>
      <c r="AT167" s="551">
        <v>19.399999999999999</v>
      </c>
      <c r="AU167" s="552">
        <v>20.079999999999998</v>
      </c>
    </row>
    <row r="168" spans="4:47" ht="16.5" customHeight="1">
      <c r="D168" s="159"/>
      <c r="E168" s="161"/>
      <c r="F168" s="158"/>
      <c r="G168" s="158"/>
      <c r="H168" s="158"/>
      <c r="I168" s="158"/>
      <c r="J168" s="158"/>
      <c r="AT168" s="551">
        <v>19.5</v>
      </c>
      <c r="AU168" s="552">
        <v>20.2</v>
      </c>
    </row>
    <row r="169" spans="4:47" ht="15" customHeight="1">
      <c r="D169" s="159"/>
      <c r="E169" s="161"/>
      <c r="F169" s="158"/>
      <c r="G169" s="158"/>
      <c r="H169" s="158"/>
      <c r="I169" s="158"/>
      <c r="J169" s="158"/>
      <c r="AT169" s="551">
        <v>19.600000000000001</v>
      </c>
      <c r="AU169" s="552">
        <v>20.309999999999999</v>
      </c>
    </row>
    <row r="170" spans="4:47" ht="15" customHeight="1">
      <c r="D170" s="159"/>
      <c r="E170" s="161"/>
      <c r="F170" s="158"/>
      <c r="G170" s="158"/>
      <c r="H170" s="158"/>
      <c r="I170" s="158"/>
      <c r="J170" s="158"/>
      <c r="AT170" s="551">
        <v>19.7</v>
      </c>
      <c r="AU170" s="552">
        <v>20.420000000000002</v>
      </c>
    </row>
    <row r="171" spans="4:47" ht="15" customHeight="1">
      <c r="D171" s="159"/>
      <c r="E171" s="161"/>
      <c r="F171" s="158"/>
      <c r="G171" s="158"/>
      <c r="H171" s="158"/>
      <c r="I171" s="158"/>
      <c r="J171" s="158"/>
      <c r="AT171" s="551">
        <v>19.8</v>
      </c>
      <c r="AU171" s="552">
        <v>20.53</v>
      </c>
    </row>
    <row r="172" spans="4:47" ht="15" customHeight="1">
      <c r="D172" s="159"/>
      <c r="E172" s="161"/>
      <c r="F172" s="158"/>
      <c r="G172" s="158"/>
      <c r="H172" s="158"/>
      <c r="I172" s="158"/>
      <c r="J172" s="158"/>
      <c r="AT172" s="551">
        <v>19.899999999999999</v>
      </c>
      <c r="AU172" s="552">
        <v>20.64</v>
      </c>
    </row>
    <row r="173" spans="4:47" ht="15" customHeight="1">
      <c r="D173" s="159"/>
      <c r="E173" s="161"/>
      <c r="F173" s="158"/>
      <c r="G173" s="158"/>
      <c r="H173" s="158"/>
      <c r="I173" s="158"/>
      <c r="J173" s="158"/>
      <c r="AT173" s="553">
        <v>20</v>
      </c>
      <c r="AU173" s="554">
        <v>20.76</v>
      </c>
    </row>
    <row r="174" spans="4:47" ht="15" customHeight="1">
      <c r="D174" s="159"/>
      <c r="E174" s="161"/>
      <c r="F174" s="158"/>
      <c r="G174" s="158"/>
      <c r="H174" s="158"/>
      <c r="I174" s="158"/>
      <c r="J174" s="158"/>
    </row>
    <row r="175" spans="4:47" ht="15" customHeight="1">
      <c r="D175" s="159"/>
      <c r="E175" s="161"/>
      <c r="F175" s="158"/>
      <c r="G175" s="158"/>
      <c r="H175" s="158"/>
      <c r="I175" s="158"/>
      <c r="J175" s="158"/>
    </row>
    <row r="176" spans="4:47" ht="15" customHeight="1">
      <c r="D176" s="159"/>
      <c r="E176" s="161"/>
      <c r="F176" s="158"/>
      <c r="G176" s="158"/>
      <c r="H176" s="158"/>
      <c r="I176" s="158"/>
      <c r="J176" s="158"/>
    </row>
    <row r="177" spans="4:10" ht="15" customHeight="1">
      <c r="D177" s="159"/>
      <c r="E177" s="161"/>
      <c r="F177" s="158"/>
      <c r="G177" s="158"/>
      <c r="H177" s="158"/>
      <c r="I177" s="158"/>
      <c r="J177" s="158"/>
    </row>
    <row r="178" spans="4:10" ht="15" customHeight="1">
      <c r="D178" s="159"/>
      <c r="E178" s="161"/>
      <c r="F178" s="158"/>
      <c r="G178" s="158"/>
      <c r="H178" s="158"/>
      <c r="I178" s="158"/>
      <c r="J178" s="158"/>
    </row>
    <row r="179" spans="4:10" ht="15" customHeight="1">
      <c r="D179" s="159"/>
      <c r="E179" s="161"/>
      <c r="F179" s="158"/>
      <c r="G179" s="158"/>
      <c r="H179" s="158"/>
      <c r="I179" s="158"/>
      <c r="J179" s="158"/>
    </row>
    <row r="180" spans="4:10" ht="15" customHeight="1">
      <c r="D180" s="159"/>
      <c r="E180" s="161"/>
      <c r="F180" s="158"/>
      <c r="G180" s="158"/>
      <c r="H180" s="158"/>
      <c r="I180" s="158"/>
      <c r="J180" s="158"/>
    </row>
    <row r="181" spans="4:10" ht="15" customHeight="1">
      <c r="D181" s="159"/>
      <c r="E181" s="161"/>
      <c r="F181" s="158"/>
      <c r="G181" s="158"/>
      <c r="H181" s="158"/>
      <c r="I181" s="158"/>
      <c r="J181" s="158"/>
    </row>
    <row r="182" spans="4:10" ht="15" customHeight="1">
      <c r="D182" s="158"/>
      <c r="E182" s="158"/>
      <c r="F182" s="158"/>
      <c r="G182" s="158"/>
      <c r="H182" s="158"/>
      <c r="I182" s="158"/>
      <c r="J182" s="158"/>
    </row>
    <row r="183" spans="4:10" ht="15" customHeight="1">
      <c r="D183" s="158"/>
      <c r="E183" s="158"/>
      <c r="F183" s="158"/>
      <c r="G183" s="158"/>
      <c r="H183" s="158"/>
      <c r="I183" s="158"/>
      <c r="J183" s="158"/>
    </row>
  </sheetData>
  <sheetProtection sheet="1" selectLockedCells="1"/>
  <mergeCells count="177">
    <mergeCell ref="AN2:AN3"/>
    <mergeCell ref="AE3:AI3"/>
    <mergeCell ref="C6:L6"/>
    <mergeCell ref="P6:S6"/>
    <mergeCell ref="W6:Y6"/>
    <mergeCell ref="AB6:AH6"/>
    <mergeCell ref="K9:L9"/>
    <mergeCell ref="O9:P9"/>
    <mergeCell ref="O11:P11"/>
    <mergeCell ref="O12:P12"/>
    <mergeCell ref="O14:P14"/>
    <mergeCell ref="K2:Z3"/>
    <mergeCell ref="AE2:AI2"/>
    <mergeCell ref="AL2:AL3"/>
    <mergeCell ref="S9:AD15"/>
    <mergeCell ref="I20:J20"/>
    <mergeCell ref="K20:R20"/>
    <mergeCell ref="U20:W20"/>
    <mergeCell ref="X20:AF20"/>
    <mergeCell ref="J24:Q24"/>
    <mergeCell ref="V24:W24"/>
    <mergeCell ref="I18:J18"/>
    <mergeCell ref="K18:R18"/>
    <mergeCell ref="U18:W18"/>
    <mergeCell ref="X18:AF18"/>
    <mergeCell ref="I19:J19"/>
    <mergeCell ref="K19:R19"/>
    <mergeCell ref="U19:W19"/>
    <mergeCell ref="X19:AF19"/>
    <mergeCell ref="M26:N26"/>
    <mergeCell ref="Q26:R26"/>
    <mergeCell ref="V26:W26"/>
    <mergeCell ref="Z26:AA26"/>
    <mergeCell ref="AD26:AE26"/>
    <mergeCell ref="D27:J27"/>
    <mergeCell ref="M27:N27"/>
    <mergeCell ref="Q27:R27"/>
    <mergeCell ref="V27:W27"/>
    <mergeCell ref="AD27:AE27"/>
    <mergeCell ref="D28:J28"/>
    <mergeCell ref="M28:N28"/>
    <mergeCell ref="Q28:R28"/>
    <mergeCell ref="V28:W28"/>
    <mergeCell ref="AD28:AE28"/>
    <mergeCell ref="D29:J29"/>
    <mergeCell ref="M29:N29"/>
    <mergeCell ref="Q29:R29"/>
    <mergeCell ref="V29:W29"/>
    <mergeCell ref="AD29:AE29"/>
    <mergeCell ref="D34:J34"/>
    <mergeCell ref="M34:N34"/>
    <mergeCell ref="Q34:R34"/>
    <mergeCell ref="V34:W34"/>
    <mergeCell ref="D35:J35"/>
    <mergeCell ref="M35:N35"/>
    <mergeCell ref="Q35:R35"/>
    <mergeCell ref="V35:W35"/>
    <mergeCell ref="M32:N32"/>
    <mergeCell ref="Q32:R32"/>
    <mergeCell ref="V32:Z32"/>
    <mergeCell ref="D33:J33"/>
    <mergeCell ref="M33:N33"/>
    <mergeCell ref="Q33:R33"/>
    <mergeCell ref="V33:W33"/>
    <mergeCell ref="AD39:AE39"/>
    <mergeCell ref="M41:N41"/>
    <mergeCell ref="Q41:R41"/>
    <mergeCell ref="V41:Z41"/>
    <mergeCell ref="M37:N37"/>
    <mergeCell ref="Q37:R37"/>
    <mergeCell ref="V37:W37"/>
    <mergeCell ref="AD37:AE37"/>
    <mergeCell ref="D38:J38"/>
    <mergeCell ref="M38:N38"/>
    <mergeCell ref="Q38:R38"/>
    <mergeCell ref="V38:W38"/>
    <mergeCell ref="AD38:AE38"/>
    <mergeCell ref="D43:J43"/>
    <mergeCell ref="M43:N43"/>
    <mergeCell ref="Q43:R43"/>
    <mergeCell ref="V43:W43"/>
    <mergeCell ref="D44:J44"/>
    <mergeCell ref="M44:N44"/>
    <mergeCell ref="Q44:R44"/>
    <mergeCell ref="V44:W44"/>
    <mergeCell ref="D39:J39"/>
    <mergeCell ref="M39:N39"/>
    <mergeCell ref="Q39:R39"/>
    <mergeCell ref="V39:W39"/>
    <mergeCell ref="AD47:AE47"/>
    <mergeCell ref="D48:J48"/>
    <mergeCell ref="M48:N48"/>
    <mergeCell ref="Q48:R48"/>
    <mergeCell ref="V48:W48"/>
    <mergeCell ref="AD48:AE48"/>
    <mergeCell ref="D45:J45"/>
    <mergeCell ref="M45:N45"/>
    <mergeCell ref="Q45:R45"/>
    <mergeCell ref="V45:W45"/>
    <mergeCell ref="M47:N47"/>
    <mergeCell ref="Q47:R47"/>
    <mergeCell ref="V47:W47"/>
    <mergeCell ref="J59:K59"/>
    <mergeCell ref="O59:P59"/>
    <mergeCell ref="S59:T59"/>
    <mergeCell ref="X59:Y59"/>
    <mergeCell ref="AC59:AE59"/>
    <mergeCell ref="J60:K60"/>
    <mergeCell ref="O60:P60"/>
    <mergeCell ref="AC60:AE60"/>
    <mergeCell ref="E52:F52"/>
    <mergeCell ref="I52:J52"/>
    <mergeCell ref="U52:V52"/>
    <mergeCell ref="Y52:Z52"/>
    <mergeCell ref="AE52:AF52"/>
    <mergeCell ref="D55:H56"/>
    <mergeCell ref="AC56:AE56"/>
    <mergeCell ref="I68:J68"/>
    <mergeCell ref="N68:O68"/>
    <mergeCell ref="R68:S68"/>
    <mergeCell ref="V68:W68"/>
    <mergeCell ref="Z68:AA68"/>
    <mergeCell ref="AE68:AG68"/>
    <mergeCell ref="S63:T63"/>
    <mergeCell ref="X63:Y63"/>
    <mergeCell ref="AC63:AE63"/>
    <mergeCell ref="AD66:AG66"/>
    <mergeCell ref="I67:J67"/>
    <mergeCell ref="N67:O67"/>
    <mergeCell ref="S67:T67"/>
    <mergeCell ref="X67:Y67"/>
    <mergeCell ref="O70:P70"/>
    <mergeCell ref="AB70:AH70"/>
    <mergeCell ref="R70:T70"/>
    <mergeCell ref="O69:P69"/>
    <mergeCell ref="AB69:AH69"/>
    <mergeCell ref="D69:F69"/>
    <mergeCell ref="G69:I69"/>
    <mergeCell ref="R69:T69"/>
    <mergeCell ref="U69:AA69"/>
    <mergeCell ref="D70:F70"/>
    <mergeCell ref="G70:I70"/>
    <mergeCell ref="U70:AA70"/>
    <mergeCell ref="AB72:AH72"/>
    <mergeCell ref="U72:AA72"/>
    <mergeCell ref="R72:T72"/>
    <mergeCell ref="D72:F72"/>
    <mergeCell ref="G72:I72"/>
    <mergeCell ref="AB71:AH71"/>
    <mergeCell ref="R71:T71"/>
    <mergeCell ref="D71:F71"/>
    <mergeCell ref="G71:I71"/>
    <mergeCell ref="U71:AA71"/>
    <mergeCell ref="E78:F78"/>
    <mergeCell ref="I78:J78"/>
    <mergeCell ref="U78:W78"/>
    <mergeCell ref="Z78:AA78"/>
    <mergeCell ref="O73:P73"/>
    <mergeCell ref="O71:P71"/>
    <mergeCell ref="AD78:AF78"/>
    <mergeCell ref="I79:J79"/>
    <mergeCell ref="N79:O79"/>
    <mergeCell ref="Q79:R79"/>
    <mergeCell ref="V79:W79"/>
    <mergeCell ref="AF79:AG79"/>
    <mergeCell ref="I74:J74"/>
    <mergeCell ref="N74:O74"/>
    <mergeCell ref="R74:S74"/>
    <mergeCell ref="V74:W74"/>
    <mergeCell ref="Z74:AA74"/>
    <mergeCell ref="AE74:AG74"/>
    <mergeCell ref="AB73:AH73"/>
    <mergeCell ref="U73:AA73"/>
    <mergeCell ref="R73:T73"/>
    <mergeCell ref="D73:F73"/>
    <mergeCell ref="G73:I73"/>
    <mergeCell ref="O72:P72"/>
  </mergeCells>
  <conditionalFormatting sqref="L27">
    <cfRule type="expression" dxfId="121" priority="115" stopIfTrue="1">
      <formula>D27="keine Rast"</formula>
    </cfRule>
  </conditionalFormatting>
  <conditionalFormatting sqref="U27">
    <cfRule type="expression" dxfId="120" priority="114" stopIfTrue="1">
      <formula>D27="keine Rast"</formula>
    </cfRule>
  </conditionalFormatting>
  <conditionalFormatting sqref="Z27">
    <cfRule type="expression" dxfId="119" priority="113" stopIfTrue="1">
      <formula>D27="keine Rast"</formula>
    </cfRule>
  </conditionalFormatting>
  <conditionalFormatting sqref="O27">
    <cfRule type="expression" dxfId="118" priority="112" stopIfTrue="1">
      <formula>D27="keine Rast"</formula>
    </cfRule>
  </conditionalFormatting>
  <conditionalFormatting sqref="S27">
    <cfRule type="expression" dxfId="117" priority="111" stopIfTrue="1">
      <formula>D27="keine Rast"</formula>
    </cfRule>
  </conditionalFormatting>
  <conditionalFormatting sqref="X27">
    <cfRule type="expression" dxfId="116" priority="110" stopIfTrue="1">
      <formula>D27="keine Rast"</formula>
    </cfRule>
  </conditionalFormatting>
  <conditionalFormatting sqref="L38:AB38">
    <cfRule type="expression" dxfId="115" priority="109" stopIfTrue="1">
      <formula>$D38="-"</formula>
    </cfRule>
  </conditionalFormatting>
  <conditionalFormatting sqref="Q27:R27">
    <cfRule type="expression" dxfId="114" priority="108" stopIfTrue="1">
      <formula>$D27="keine rast"</formula>
    </cfRule>
  </conditionalFormatting>
  <conditionalFormatting sqref="AA27:AB27">
    <cfRule type="expression" dxfId="113" priority="107" stopIfTrue="1">
      <formula>$D27="keine rast"</formula>
    </cfRule>
  </conditionalFormatting>
  <conditionalFormatting sqref="AC28">
    <cfRule type="expression" dxfId="112" priority="106" stopIfTrue="1">
      <formula>D28="keine Rast"</formula>
    </cfRule>
  </conditionalFormatting>
  <conditionalFormatting sqref="V27:W27">
    <cfRule type="expression" dxfId="111" priority="105" stopIfTrue="1">
      <formula>$D27="keine rast"</formula>
    </cfRule>
  </conditionalFormatting>
  <conditionalFormatting sqref="L28:AB28">
    <cfRule type="expression" dxfId="110" priority="104" stopIfTrue="1">
      <formula>$D28="-"</formula>
    </cfRule>
  </conditionalFormatting>
  <conditionalFormatting sqref="L35:AG35">
    <cfRule type="expression" dxfId="109" priority="103" stopIfTrue="1">
      <formula>$D35="-"</formula>
    </cfRule>
  </conditionalFormatting>
  <conditionalFormatting sqref="D28:J28">
    <cfRule type="cellIs" dxfId="108" priority="102" stopIfTrue="1" operator="equal">
      <formula>"-"</formula>
    </cfRule>
  </conditionalFormatting>
  <conditionalFormatting sqref="AE52">
    <cfRule type="expression" dxfId="107" priority="100" stopIfTrue="1">
      <formula>#REF!="keine rast"</formula>
    </cfRule>
  </conditionalFormatting>
  <conditionalFormatting sqref="AE52">
    <cfRule type="expression" dxfId="106" priority="101" stopIfTrue="1">
      <formula>$D52="keine rast"</formula>
    </cfRule>
  </conditionalFormatting>
  <conditionalFormatting sqref="D71 G71">
    <cfRule type="cellIs" dxfId="105" priority="99" stopIfTrue="1" operator="equal">
      <formula>"keine 2. Gabe"</formula>
    </cfRule>
  </conditionalFormatting>
  <conditionalFormatting sqref="D72 G72">
    <cfRule type="cellIs" dxfId="104" priority="98" stopIfTrue="1" operator="equal">
      <formula>"keine 3. Gabe"</formula>
    </cfRule>
  </conditionalFormatting>
  <conditionalFormatting sqref="L37:X37">
    <cfRule type="expression" dxfId="103" priority="97" stopIfTrue="1">
      <formula>$D38="keine rast"</formula>
    </cfRule>
  </conditionalFormatting>
  <conditionalFormatting sqref="L33:AG33">
    <cfRule type="expression" dxfId="102" priority="96" stopIfTrue="1">
      <formula>$D33="-"</formula>
    </cfRule>
  </conditionalFormatting>
  <conditionalFormatting sqref="L34:AG34">
    <cfRule type="expression" dxfId="101" priority="95" stopIfTrue="1">
      <formula>$D34="-"</formula>
    </cfRule>
  </conditionalFormatting>
  <conditionalFormatting sqref="R74:S74">
    <cfRule type="expression" dxfId="100" priority="94" stopIfTrue="1">
      <formula>$D74="keine rast"</formula>
    </cfRule>
  </conditionalFormatting>
  <conditionalFormatting sqref="R74:S74">
    <cfRule type="expression" dxfId="99" priority="93" stopIfTrue="1">
      <formula>$D72="keine rast"</formula>
    </cfRule>
  </conditionalFormatting>
  <conditionalFormatting sqref="R74:S74">
    <cfRule type="expression" dxfId="98" priority="92" stopIfTrue="1">
      <formula>$D72="keine rast"</formula>
    </cfRule>
  </conditionalFormatting>
  <conditionalFormatting sqref="AC29">
    <cfRule type="expression" dxfId="97" priority="91" stopIfTrue="1">
      <formula>D29="keine Rast"</formula>
    </cfRule>
  </conditionalFormatting>
  <conditionalFormatting sqref="L29:AB29">
    <cfRule type="expression" dxfId="96" priority="90" stopIfTrue="1">
      <formula>$D29="-"</formula>
    </cfRule>
  </conditionalFormatting>
  <conditionalFormatting sqref="V41">
    <cfRule type="expression" dxfId="95" priority="89" stopIfTrue="1">
      <formula>B41="keine Rast"</formula>
    </cfRule>
  </conditionalFormatting>
  <conditionalFormatting sqref="AA41">
    <cfRule type="expression" dxfId="94" priority="88" stopIfTrue="1">
      <formula>G41="keine Rast"</formula>
    </cfRule>
  </conditionalFormatting>
  <conditionalFormatting sqref="AB47">
    <cfRule type="expression" dxfId="93" priority="87" stopIfTrue="1">
      <formula>F47="keine Rast"</formula>
    </cfRule>
  </conditionalFormatting>
  <conditionalFormatting sqref="L44:AG44">
    <cfRule type="expression" dxfId="92" priority="86">
      <formula>$D44="-"</formula>
    </cfRule>
  </conditionalFormatting>
  <conditionalFormatting sqref="AC28">
    <cfRule type="expression" dxfId="91" priority="85" stopIfTrue="1">
      <formula>D28="keine Rast"</formula>
    </cfRule>
  </conditionalFormatting>
  <conditionalFormatting sqref="AC29">
    <cfRule type="expression" dxfId="90" priority="84" stopIfTrue="1">
      <formula>D29="keine Rast"</formula>
    </cfRule>
  </conditionalFormatting>
  <conditionalFormatting sqref="AD26:AG26">
    <cfRule type="expression" dxfId="89" priority="83" stopIfTrue="1">
      <formula>$D27="-"</formula>
    </cfRule>
  </conditionalFormatting>
  <conditionalFormatting sqref="AG29">
    <cfRule type="expression" dxfId="88" priority="82" stopIfTrue="1">
      <formula>G29="keine Rast"</formula>
    </cfRule>
  </conditionalFormatting>
  <conditionalFormatting sqref="AF29">
    <cfRule type="expression" dxfId="87" priority="81" stopIfTrue="1">
      <formula>F29="keine Rast"</formula>
    </cfRule>
  </conditionalFormatting>
  <conditionalFormatting sqref="V24:X24">
    <cfRule type="expression" dxfId="86" priority="80" stopIfTrue="1">
      <formula>$D26="keine rast"</formula>
    </cfRule>
  </conditionalFormatting>
  <conditionalFormatting sqref="AG26">
    <cfRule type="cellIs" dxfId="85" priority="79" operator="between">
      <formula>99</formula>
      <formula>500</formula>
    </cfRule>
  </conditionalFormatting>
  <conditionalFormatting sqref="AG27">
    <cfRule type="cellIs" dxfId="84" priority="78" operator="between">
      <formula>99</formula>
      <formula>500</formula>
    </cfRule>
  </conditionalFormatting>
  <conditionalFormatting sqref="AG28">
    <cfRule type="cellIs" dxfId="83" priority="77" operator="between">
      <formula>99</formula>
      <formula>500</formula>
    </cfRule>
  </conditionalFormatting>
  <conditionalFormatting sqref="AD27:AG27">
    <cfRule type="expression" dxfId="82" priority="76">
      <formula>$D28="-"</formula>
    </cfRule>
  </conditionalFormatting>
  <conditionalFormatting sqref="AH27">
    <cfRule type="expression" dxfId="81" priority="75">
      <formula>$D28="-"</formula>
    </cfRule>
  </conditionalFormatting>
  <conditionalFormatting sqref="AD28:AG28">
    <cfRule type="expression" dxfId="80" priority="74">
      <formula>$D29="-"</formula>
    </cfRule>
  </conditionalFormatting>
  <conditionalFormatting sqref="AH28">
    <cfRule type="expression" dxfId="79" priority="73">
      <formula>$D29="-"</formula>
    </cfRule>
  </conditionalFormatting>
  <conditionalFormatting sqref="AD38:AG38">
    <cfRule type="expression" dxfId="78" priority="72">
      <formula>$D39="-"</formula>
    </cfRule>
  </conditionalFormatting>
  <conditionalFormatting sqref="AH38">
    <cfRule type="expression" dxfId="77" priority="71">
      <formula>$D39="-"</formula>
    </cfRule>
  </conditionalFormatting>
  <conditionalFormatting sqref="AD37:AG37">
    <cfRule type="expression" dxfId="76" priority="70">
      <formula>$D38="-"</formula>
    </cfRule>
  </conditionalFormatting>
  <conditionalFormatting sqref="AH37">
    <cfRule type="expression" dxfId="75" priority="69">
      <formula>$D38="-"</formula>
    </cfRule>
  </conditionalFormatting>
  <conditionalFormatting sqref="AD47:AG47">
    <cfRule type="expression" dxfId="74" priority="68">
      <formula>$D48="-"</formula>
    </cfRule>
  </conditionalFormatting>
  <conditionalFormatting sqref="AH47">
    <cfRule type="expression" dxfId="73" priority="67">
      <formula>$D48="-"</formula>
    </cfRule>
  </conditionalFormatting>
  <conditionalFormatting sqref="V79">
    <cfRule type="expression" priority="118" stopIfTrue="1">
      <formula>ROUND(#REF!,0)</formula>
    </cfRule>
  </conditionalFormatting>
  <conditionalFormatting sqref="D29:J29">
    <cfRule type="cellIs" dxfId="72" priority="66" operator="equal">
      <formula>"-"</formula>
    </cfRule>
  </conditionalFormatting>
  <conditionalFormatting sqref="D33:J33">
    <cfRule type="cellIs" dxfId="71" priority="65" operator="equal">
      <formula>"-"</formula>
    </cfRule>
  </conditionalFormatting>
  <conditionalFormatting sqref="D34:J34">
    <cfRule type="cellIs" dxfId="70" priority="64" operator="equal">
      <formula>"-"</formula>
    </cfRule>
  </conditionalFormatting>
  <conditionalFormatting sqref="D35:J35">
    <cfRule type="cellIs" dxfId="69" priority="63" operator="equal">
      <formula>"-"</formula>
    </cfRule>
  </conditionalFormatting>
  <conditionalFormatting sqref="D38:J38">
    <cfRule type="cellIs" dxfId="68" priority="62" operator="equal">
      <formula>"-"</formula>
    </cfRule>
  </conditionalFormatting>
  <conditionalFormatting sqref="D39:J39">
    <cfRule type="cellIs" dxfId="67" priority="61" operator="equal">
      <formula>"-"</formula>
    </cfRule>
  </conditionalFormatting>
  <conditionalFormatting sqref="L39:AB39">
    <cfRule type="expression" dxfId="66" priority="60">
      <formula>$D39="-"</formula>
    </cfRule>
  </conditionalFormatting>
  <conditionalFormatting sqref="D43:J43">
    <cfRule type="cellIs" dxfId="65" priority="59" operator="equal">
      <formula>"-"</formula>
    </cfRule>
  </conditionalFormatting>
  <conditionalFormatting sqref="K43:AG43">
    <cfRule type="expression" dxfId="64" priority="58">
      <formula>$D43="-"</formula>
    </cfRule>
  </conditionalFormatting>
  <conditionalFormatting sqref="D44:J44">
    <cfRule type="cellIs" dxfId="63" priority="57" operator="equal">
      <formula>"-"</formula>
    </cfRule>
  </conditionalFormatting>
  <conditionalFormatting sqref="D45:J45">
    <cfRule type="cellIs" dxfId="62" priority="56" operator="equal">
      <formula>"-"</formula>
    </cfRule>
  </conditionalFormatting>
  <conditionalFormatting sqref="L45:AG45">
    <cfRule type="expression" dxfId="61" priority="55">
      <formula>D$45="-"</formula>
    </cfRule>
  </conditionalFormatting>
  <conditionalFormatting sqref="D48:J48">
    <cfRule type="cellIs" dxfId="60" priority="54" operator="equal">
      <formula>"-"</formula>
    </cfRule>
  </conditionalFormatting>
  <conditionalFormatting sqref="L48:AB48">
    <cfRule type="expression" dxfId="59" priority="53">
      <formula>$D48="-"</formula>
    </cfRule>
  </conditionalFormatting>
  <conditionalFormatting sqref="AH26">
    <cfRule type="expression" dxfId="58" priority="52">
      <formula>D27="-"</formula>
    </cfRule>
  </conditionalFormatting>
  <conditionalFormatting sqref="L26:X26">
    <cfRule type="expression" dxfId="57" priority="119" stopIfTrue="1">
      <formula>$D27="keine rast"</formula>
    </cfRule>
  </conditionalFormatting>
  <conditionalFormatting sqref="AE14:AH15">
    <cfRule type="expression" dxfId="56" priority="120" stopIfTrue="1">
      <formula>$W$14="nein"</formula>
    </cfRule>
  </conditionalFormatting>
  <conditionalFormatting sqref="D27:D29 D33:J35 D38:J39 D43:J45 D48">
    <cfRule type="beginsWith" dxfId="55" priority="51" operator="beginsWith" text="Rast">
      <formula>LEFT(D27,LEN("Rast"))="Rast"</formula>
    </cfRule>
  </conditionalFormatting>
  <conditionalFormatting sqref="C6 P6 W6 O9 O11:P12 O14 V24 V26 Z26 Q26 M26:N29 AD26:AE28 AG26:AG28 AP26:AP29 M32:N35 M37:N39 M41 M43:N45 M47:N48 Q37 Q47 V37 V47 AD37:AE38 AG37:AG38 AP37:AP39 AP47:AP48 AG47 AD47 E52 I52 U52 AE52 J59:K60 O59:P60 S59 S63 AC59 AC63 I67 N67 S67 I74 V74 Z74 E78 I78 N79 Q79 U78 V79 Z78 AD78 AF79 AP18:AP20">
    <cfRule type="notContainsBlanks" dxfId="54" priority="50">
      <formula>LEN(TRIM(C6))&gt;0</formula>
    </cfRule>
  </conditionalFormatting>
  <conditionalFormatting sqref="K9 Q27:R29 V27:W29 AA27:AA29 AD29 Q32:R35 V33:W35 AB32 AA33:AA35 Q38:R39 V38:W39 AA38:AA39 AD39 Q41 AB41 Q43:R45 V43:W45 AA43:AA45 Q48 V48 AA48 AD48 Y52 AC56 X59 AC60 X63 N74 R74 AE74 I79 J70">
    <cfRule type="cellIs" dxfId="53" priority="49" operator="greaterThan">
      <formula>0</formula>
    </cfRule>
  </conditionalFormatting>
  <conditionalFormatting sqref="J24:Q24">
    <cfRule type="containsText" dxfId="52" priority="48" operator="containsText" text="Maischverfahren wählen">
      <formula>NOT(ISERROR(SEARCH("Maischverfahren wählen",J24)))</formula>
    </cfRule>
  </conditionalFormatting>
  <conditionalFormatting sqref="I18:S18">
    <cfRule type="expression" dxfId="51" priority="47">
      <formula>$K$18=""</formula>
    </cfRule>
  </conditionalFormatting>
  <conditionalFormatting sqref="I19:S19">
    <cfRule type="expression" dxfId="50" priority="46">
      <formula>$K$19=""</formula>
    </cfRule>
  </conditionalFormatting>
  <conditionalFormatting sqref="I20:S20">
    <cfRule type="expression" dxfId="49" priority="45">
      <formula>$K$20=""</formula>
    </cfRule>
  </conditionalFormatting>
  <conditionalFormatting sqref="U18:AG18">
    <cfRule type="expression" dxfId="48" priority="44">
      <formula>$X$18=""</formula>
    </cfRule>
  </conditionalFormatting>
  <conditionalFormatting sqref="U19:AG19">
    <cfRule type="expression" dxfId="47" priority="43">
      <formula>$X$19=""</formula>
    </cfRule>
  </conditionalFormatting>
  <conditionalFormatting sqref="U20:AG20">
    <cfRule type="expression" dxfId="46" priority="42">
      <formula>$X$20=""</formula>
    </cfRule>
  </conditionalFormatting>
  <conditionalFormatting sqref="S9">
    <cfRule type="cellIs" dxfId="45" priority="41" operator="equal">
      <formula>0</formula>
    </cfRule>
  </conditionalFormatting>
  <conditionalFormatting sqref="V32:Z32">
    <cfRule type="beginsWith" dxfId="44" priority="40" operator="beginsWith" text="wählen">
      <formula>LEFT(V32,LEN("wählen"))="wählen"</formula>
    </cfRule>
  </conditionalFormatting>
  <conditionalFormatting sqref="V41:Z41">
    <cfRule type="beginsWith" dxfId="43" priority="39" operator="beginsWith" text="wählen">
      <formula>LEFT(V41,LEN("wählen"))="wählen"</formula>
    </cfRule>
  </conditionalFormatting>
  <conditionalFormatting sqref="AB6:AH6">
    <cfRule type="containsText" dxfId="42" priority="38" operator="containsText" text="Bitte wählen!">
      <formula>NOT(ISERROR(SEARCH("Bitte wählen!",AB6)))</formula>
    </cfRule>
  </conditionalFormatting>
  <conditionalFormatting sqref="R68:S68">
    <cfRule type="expression" dxfId="41" priority="37" stopIfTrue="1">
      <formula>$D68="keine rast"</formula>
    </cfRule>
  </conditionalFormatting>
  <conditionalFormatting sqref="R68:S68">
    <cfRule type="expression" dxfId="40" priority="36" stopIfTrue="1">
      <formula>$D66="keine rast"</formula>
    </cfRule>
  </conditionalFormatting>
  <conditionalFormatting sqref="R68:S68">
    <cfRule type="expression" dxfId="39" priority="35" stopIfTrue="1">
      <formula>$D66="keine rast"</formula>
    </cfRule>
  </conditionalFormatting>
  <conditionalFormatting sqref="I68 V68 Z68">
    <cfRule type="notContainsBlanks" dxfId="38" priority="34">
      <formula>LEN(TRIM(I68))&gt;0</formula>
    </cfRule>
  </conditionalFormatting>
  <conditionalFormatting sqref="N68 R68 AE68">
    <cfRule type="cellIs" dxfId="37" priority="33" operator="greaterThan">
      <formula>0</formula>
    </cfRule>
  </conditionalFormatting>
  <conditionalFormatting sqref="O69:P69">
    <cfRule type="cellIs" dxfId="36" priority="32" operator="greaterThan">
      <formula>0</formula>
    </cfRule>
  </conditionalFormatting>
  <conditionalFormatting sqref="U69">
    <cfRule type="expression" dxfId="35" priority="31">
      <formula>$D$72="keine 3. Gabe"</formula>
    </cfRule>
  </conditionalFormatting>
  <conditionalFormatting sqref="O70:P70">
    <cfRule type="cellIs" dxfId="34" priority="30" operator="greaterThan">
      <formula>0</formula>
    </cfRule>
  </conditionalFormatting>
  <conditionalFormatting sqref="U70">
    <cfRule type="expression" dxfId="33" priority="29">
      <formula>$D$72="keine 3. Gabe"</formula>
    </cfRule>
  </conditionalFormatting>
  <conditionalFormatting sqref="O71:P71">
    <cfRule type="cellIs" dxfId="32" priority="28" operator="greaterThan">
      <formula>0</formula>
    </cfRule>
  </conditionalFormatting>
  <conditionalFormatting sqref="U71">
    <cfRule type="expression" dxfId="31" priority="27">
      <formula>$D$72="keine 3. Gabe"</formula>
    </cfRule>
  </conditionalFormatting>
  <conditionalFormatting sqref="O72:P72">
    <cfRule type="cellIs" dxfId="30" priority="26" operator="greaterThan">
      <formula>0</formula>
    </cfRule>
  </conditionalFormatting>
  <conditionalFormatting sqref="U72">
    <cfRule type="expression" dxfId="29" priority="25">
      <formula>$D$72="keine 3. Gabe"</formula>
    </cfRule>
  </conditionalFormatting>
  <conditionalFormatting sqref="O73:P73">
    <cfRule type="cellIs" dxfId="28" priority="24" operator="greaterThan">
      <formula>0</formula>
    </cfRule>
  </conditionalFormatting>
  <conditionalFormatting sqref="U73">
    <cfRule type="expression" dxfId="27" priority="23">
      <formula>$D$72="keine 3. Gabe"</formula>
    </cfRule>
  </conditionalFormatting>
  <conditionalFormatting sqref="D70:AH70">
    <cfRule type="expression" dxfId="26" priority="4">
      <formula>$D$70="keine 2. Gabe"</formula>
    </cfRule>
  </conditionalFormatting>
  <conditionalFormatting sqref="D71:AH71">
    <cfRule type="expression" dxfId="25" priority="3">
      <formula>$D$71="keine 3. Gabe"</formula>
    </cfRule>
  </conditionalFormatting>
  <conditionalFormatting sqref="D72:AH72">
    <cfRule type="expression" dxfId="24" priority="2">
      <formula>$D$72="keine 4. Gabe"</formula>
    </cfRule>
  </conditionalFormatting>
  <conditionalFormatting sqref="D73:AH73">
    <cfRule type="expression" dxfId="23" priority="1">
      <formula>$D$73="keine 5. Gabe"</formula>
    </cfRule>
  </conditionalFormatting>
  <conditionalFormatting sqref="AB69:AH73 U69:U73 R69:R73">
    <cfRule type="containsText" dxfId="22" priority="20" operator="containsText" text="wählen">
      <formula>NOT(ISERROR(SEARCH("wählen",R69)))</formula>
    </cfRule>
  </conditionalFormatting>
  <conditionalFormatting sqref="L69">
    <cfRule type="cellIs" dxfId="21" priority="5" operator="greaterThan">
      <formula>0</formula>
    </cfRule>
  </conditionalFormatting>
  <conditionalFormatting sqref="L70">
    <cfRule type="cellIs" dxfId="20" priority="19" operator="greaterThan">
      <formula>0</formula>
    </cfRule>
  </conditionalFormatting>
  <conditionalFormatting sqref="L71">
    <cfRule type="cellIs" dxfId="19" priority="16" operator="greaterThan">
      <formula>0</formula>
    </cfRule>
  </conditionalFormatting>
  <conditionalFormatting sqref="L72">
    <cfRule type="cellIs" dxfId="18" priority="18" operator="greaterThan">
      <formula>0</formula>
    </cfRule>
  </conditionalFormatting>
  <conditionalFormatting sqref="L73">
    <cfRule type="cellIs" dxfId="17" priority="17" operator="greaterThan">
      <formula>0</formula>
    </cfRule>
  </conditionalFormatting>
  <dataValidations count="1">
    <dataValidation type="list" allowBlank="1" showInputMessage="1" showErrorMessage="1" sqref="AG18:AG20 S18:S20" xr:uid="{13A4642E-15EA-40A0-A58B-EFF559812679}">
      <formula1>"X"</formula1>
    </dataValidation>
  </dataValidations>
  <hyperlinks>
    <hyperlink ref="AL2" location="'3_rezeptkarte'!F6" tooltip="zurück zur Rezeptkarte" display="ï" xr:uid="{3917A804-9C7B-4F27-B0B8-3CEBB35C556C}"/>
    <hyperlink ref="AM2" location="start!A1" tooltip="zur Startseite" display="ñ" xr:uid="{8D17548D-E341-47F3-8B93-6C3B5B7B7C51}"/>
    <hyperlink ref="AN2" location="'4a_sud-journal (handout)'!Q27" tooltip="Weiter zum Sud-Journal (HandOut)" display="ð" xr:uid="{AF5B5FBB-D37F-4A69-95E5-B4DD25F15895}"/>
    <hyperlink ref="AN2:AN3" location="'5_gaerdiagramm'!Q27" tooltip="Weiter zum Gärdigramm" display="ð" xr:uid="{E9F93196-482E-4536-B12A-CB268A0CDD6B}"/>
    <hyperlink ref="AL2:AL3" location="'4a_sud-journal'!F6" tooltip="zurück zum Sud-Journal" display="ï" xr:uid="{249DDE21-C1BA-42AD-B6FC-54213A5E49AB}"/>
  </hyperlinks>
  <printOptions horizontalCentered="1"/>
  <pageMargins left="0.70866141732283472" right="0.70866141732283472" top="0.39370078740157483" bottom="0.39370078740157483" header="0.51181102362204722" footer="0.31496062992125984"/>
  <pageSetup paperSize="9" orientation="portrait" r:id="rId1"/>
  <headerFooter alignWithMargins="0">
    <oddFooter>&amp;L&amp;"Arial,Fett"Seite &amp;P von &amp;N&amp;R&amp;"Arial,Fett"www.bierbrauerei.net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61" r:id="rId4" name="Check Box 1">
              <controlPr defaultSize="0" autoFill="0" autoLine="0" autoPict="0">
                <anchor moveWithCells="1">
                  <from>
                    <xdr:col>12</xdr:col>
                    <xdr:colOff>22860</xdr:colOff>
                    <xdr:row>50</xdr:row>
                    <xdr:rowOff>106680</xdr:rowOff>
                  </from>
                  <to>
                    <xdr:col>16</xdr:col>
                    <xdr:colOff>198120</xdr:colOff>
                    <xdr:row>52</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u S t r T m A Q S o G o A A A A + A A A A B I A H A B D b 2 5 m a W c v U G F j a 2 F n Z S 5 4 b W w g o h g A K K A U A A A A A A A A A A A A A A A A A A A A A A A A A A A A h Y / N C o J A G E V f R W b v / C i G x O e 4 q H Y J Q R B t h 3 H S I R 3 D G R v f r U W P 1 C s k l N W u 5 b 2 c C + c + b n f I x 7 Y J r q q 3 u j M Z Y p i i Q B n Z l d p U G R r c K U x R z m E n 5 F l U K p h g Y 5 e j 1 R m q n b s s C f H e Y x / j r q 9 I R C k j x 2 K 7 l 7 V q R a i N d c J I h T 6 r 8 v 8 K c T i 8 Z H i E F w l O Y h Z j l j I g c w 2 F N l 8 k m o w x B f J T w m p o 3 N A r X q p w v Q E y R y D v F / w J U E s D B B Q A A g A I A L k r a 0 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5 K 2 t O K I p H u A 4 A A A A R A A A A E w A c A E Z v c m 1 1 b G F z L 1 N l Y 3 R p b 2 4 x L m 0 g o h g A K K A U A A A A A A A A A A A A A A A A A A A A A A A A A A A A K 0 5 N L s n M z 1 M I h t C G 1 g B Q S w E C L Q A U A A I A C A C 5 K 2 t O Y B B K g a g A A A D 4 A A A A E g A A A A A A A A A A A A A A A A A A A A A A Q 2 9 u Z m l n L 1 B h Y 2 t h Z 2 U u e G 1 s U E s B A i 0 A F A A C A A g A u S t r T g / K 6 a u k A A A A 6 Q A A A B M A A A A A A A A A A A A A A A A A 9 A A A A F t D b 2 5 0 Z W 5 0 X 1 R 5 c G V z X S 5 4 b W x Q S w E C L Q A U A A I A C A C 5 K 2 t 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i d N m E c c s k a O q 1 R Z 5 u + n F Q A A A A A C A A A A A A A Q Z g A A A A E A A C A A A A B t k A 2 e I v Q k J 5 f I v K R 0 e r 7 g 8 E v D m u Z g x 3 Q A K k J c u G X r u A A A A A A O g A A A A A I A A C A A A A A h y W Q W s g u l o f c S i a R Z R 0 0 T / 2 X 7 G 6 y k i O j L 1 x L 2 z y b S b l A A A A B 5 5 1 D R V k h F B E q 8 N b h 9 8 m D K w N d h Z 0 P 0 R 1 x s T 9 I A j O 1 1 3 c P m j d e N 3 L l u d 2 e D u B e o K r 8 6 A q J 0 D 2 5 7 p d C Z Z g j f v 5 d D U I 6 F R 5 P z P U t l 7 8 g 9 e 7 r B F E A A A A B h 7 S I J m J L D r B i / 2 q 2 A B e v G c 6 F c 3 7 L a 5 u J V q d x M 5 U I U C A g P T O Z n u q E 3 o 3 J I c l y 8 p U U h g R q h q k 8 2 T 8 N D X U J r U w a I < / D a t a M a s h u p > 
</file>

<file path=customXml/itemProps1.xml><?xml version="1.0" encoding="utf-8"?>
<ds:datastoreItem xmlns:ds="http://schemas.openxmlformats.org/officeDocument/2006/customXml" ds:itemID="{2407B112-B179-4FE2-BD8E-D8473089F2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35</vt:i4>
      </vt:variant>
    </vt:vector>
  </HeadingPairs>
  <TitlesOfParts>
    <vt:vector size="52" baseType="lpstr">
      <vt:lpstr>start</vt:lpstr>
      <vt:lpstr>historie</vt:lpstr>
      <vt:lpstr>daten</vt:lpstr>
      <vt:lpstr>rechenfibel</vt:lpstr>
      <vt:lpstr>1_vorbereitung</vt:lpstr>
      <vt:lpstr>2_brief_hza</vt:lpstr>
      <vt:lpstr>3_rezeptkarte</vt:lpstr>
      <vt:lpstr>4a_sud-journal</vt:lpstr>
      <vt:lpstr>4a_sud-journal (handout)</vt:lpstr>
      <vt:lpstr>5_gaerdiagramm</vt:lpstr>
      <vt:lpstr>6_lagerbericht</vt:lpstr>
      <vt:lpstr>7_verkostungsbogen</vt:lpstr>
      <vt:lpstr>8_untappd</vt:lpstr>
      <vt:lpstr>9_banderole</vt:lpstr>
      <vt:lpstr>10_zapfschild</vt:lpstr>
      <vt:lpstr>export</vt:lpstr>
      <vt:lpstr>grafiken</vt:lpstr>
      <vt:lpstr>Baden_Württemberg</vt:lpstr>
      <vt:lpstr>Bayern</vt:lpstr>
      <vt:lpstr>Berlin</vt:lpstr>
      <vt:lpstr>Brandenburg</vt:lpstr>
      <vt:lpstr>Bremen</vt:lpstr>
      <vt:lpstr>'1_vorbereitung'!Druckbereich</vt:lpstr>
      <vt:lpstr>'10_zapfschild'!Druckbereich</vt:lpstr>
      <vt:lpstr>'2_brief_hza'!Druckbereich</vt:lpstr>
      <vt:lpstr>'3_rezeptkarte'!Druckbereich</vt:lpstr>
      <vt:lpstr>'4a_sud-journal'!Druckbereich</vt:lpstr>
      <vt:lpstr>'4a_sud-journal (handout)'!Druckbereich</vt:lpstr>
      <vt:lpstr>'5_gaerdiagramm'!Druckbereich</vt:lpstr>
      <vt:lpstr>'6_lagerbericht'!Druckbereich</vt:lpstr>
      <vt:lpstr>'7_verkostungsbogen'!Druckbereich</vt:lpstr>
      <vt:lpstr>'8_untappd'!Druckbereich</vt:lpstr>
      <vt:lpstr>'9_banderole'!Druckbereich</vt:lpstr>
      <vt:lpstr>rechenfibel!Druckbereich</vt:lpstr>
      <vt:lpstr>EBC</vt:lpstr>
      <vt:lpstr>Hamburg</vt:lpstr>
      <vt:lpstr>Hessen</vt:lpstr>
      <vt:lpstr>Mecklenburg_Vorpommern</vt:lpstr>
      <vt:lpstr>Niedersachsen</vt:lpstr>
      <vt:lpstr>Nordrhein_Westfalen</vt:lpstr>
      <vt:lpstr>obergärig</vt:lpstr>
      <vt:lpstr>obergärige</vt:lpstr>
      <vt:lpstr>Rheinland_Pfalz</vt:lpstr>
      <vt:lpstr>Saarland</vt:lpstr>
      <vt:lpstr>Sachsen</vt:lpstr>
      <vt:lpstr>Sachsen_Anhalt</vt:lpstr>
      <vt:lpstr>Schleswig_Holstein</vt:lpstr>
      <vt:lpstr>Thüringen</vt:lpstr>
      <vt:lpstr>untergärig</vt:lpstr>
      <vt:lpstr>untergärige</vt:lpstr>
      <vt:lpstr>Weißbier</vt:lpstr>
      <vt:lpstr>Weißbierhefe</vt:lpstr>
    </vt:vector>
  </TitlesOfParts>
  <Company>Bräu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Hopfezopfe</dc:creator>
  <cp:lastModifiedBy>trami</cp:lastModifiedBy>
  <cp:lastPrinted>2019-05-04T17:21:49Z</cp:lastPrinted>
  <dcterms:created xsi:type="dcterms:W3CDTF">2006-12-11T20:59:14Z</dcterms:created>
  <dcterms:modified xsi:type="dcterms:W3CDTF">2019-05-18T09:29:24Z</dcterms:modified>
</cp:coreProperties>
</file>